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K:\12_AUTO\01_THEMA\09_MOB\07_Ratio_vélo_auto\Pauto\Publication\"/>
    </mc:Choice>
  </mc:AlternateContent>
  <xr:revisionPtr revIDLastSave="0" documentId="13_ncr:1_{E63F87E4-FC2F-4401-829E-0C4D3B1A6647}" xr6:coauthVersionLast="47" xr6:coauthVersionMax="47" xr10:uidLastSave="{00000000-0000-0000-0000-000000000000}"/>
  <bookViews>
    <workbookView xWindow="-108" yWindow="-108" windowWidth="23256" windowHeight="12456" xr2:uid="{00000000-000D-0000-FFFF-FFFF00000000}"/>
  </bookViews>
  <sheets>
    <sheet name="Calculator" sheetId="4" r:id="rId1"/>
    <sheet name="Release Notes" sheetId="10" r:id="rId2"/>
    <sheet name="Data" sheetId="8" state="hidden" r:id="rId3"/>
  </sheets>
  <definedNames>
    <definedName name="Name">Data!$B$2:$B$631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6" i="4"/>
  <c r="L15" i="4"/>
  <c r="H2" i="8"/>
  <c r="I2" i="8"/>
  <c r="I7" i="8" l="1"/>
  <c r="I8" i="8"/>
  <c r="I15" i="8"/>
  <c r="I16" i="8"/>
  <c r="I23" i="8"/>
  <c r="I24" i="8"/>
  <c r="I31" i="8"/>
  <c r="I32" i="8"/>
  <c r="I39" i="8"/>
  <c r="I40" i="8"/>
  <c r="I47" i="8"/>
  <c r="I48" i="8"/>
  <c r="I55" i="8"/>
  <c r="I56" i="8"/>
  <c r="I63" i="8"/>
  <c r="I64" i="8"/>
  <c r="I71" i="8"/>
  <c r="I72" i="8"/>
  <c r="I79" i="8"/>
  <c r="I80" i="8"/>
  <c r="I87" i="8"/>
  <c r="I88" i="8"/>
  <c r="I95" i="8"/>
  <c r="I96" i="8"/>
  <c r="I103" i="8"/>
  <c r="I104" i="8"/>
  <c r="I111" i="8"/>
  <c r="I112" i="8"/>
  <c r="I119" i="8"/>
  <c r="I120" i="8"/>
  <c r="I127" i="8"/>
  <c r="I128" i="8"/>
  <c r="I135" i="8"/>
  <c r="I136" i="8"/>
  <c r="I143" i="8"/>
  <c r="I144" i="8"/>
  <c r="I151" i="8"/>
  <c r="I152" i="8"/>
  <c r="I159" i="8"/>
  <c r="I160" i="8"/>
  <c r="I167" i="8"/>
  <c r="I168" i="8"/>
  <c r="I175" i="8"/>
  <c r="I176" i="8"/>
  <c r="I183" i="8"/>
  <c r="I184" i="8"/>
  <c r="I191" i="8"/>
  <c r="I192" i="8"/>
  <c r="I199" i="8"/>
  <c r="I200" i="8"/>
  <c r="I207" i="8"/>
  <c r="I208" i="8"/>
  <c r="I215" i="8"/>
  <c r="I216" i="8"/>
  <c r="I223" i="8"/>
  <c r="I224" i="8"/>
  <c r="I231" i="8"/>
  <c r="I232" i="8"/>
  <c r="I239" i="8"/>
  <c r="I240" i="8"/>
  <c r="I247" i="8"/>
  <c r="I248" i="8"/>
  <c r="I255" i="8"/>
  <c r="I256" i="8"/>
  <c r="I263" i="8"/>
  <c r="I264" i="8"/>
  <c r="I271" i="8"/>
  <c r="I272" i="8"/>
  <c r="I279" i="8"/>
  <c r="I280" i="8"/>
  <c r="I287" i="8"/>
  <c r="I288" i="8"/>
  <c r="I295" i="8"/>
  <c r="I296" i="8"/>
  <c r="I303" i="8"/>
  <c r="I304" i="8"/>
  <c r="I311" i="8"/>
  <c r="I312" i="8"/>
  <c r="I319" i="8"/>
  <c r="I320" i="8"/>
  <c r="I327" i="8"/>
  <c r="I328" i="8"/>
  <c r="I335" i="8"/>
  <c r="I336" i="8"/>
  <c r="I343" i="8"/>
  <c r="I344" i="8"/>
  <c r="I351" i="8"/>
  <c r="I352" i="8"/>
  <c r="I359" i="8"/>
  <c r="I360" i="8"/>
  <c r="I367" i="8"/>
  <c r="I368" i="8"/>
  <c r="I375" i="8"/>
  <c r="I376" i="8"/>
  <c r="I383" i="8"/>
  <c r="I384" i="8"/>
  <c r="I391" i="8"/>
  <c r="I392" i="8"/>
  <c r="I399" i="8"/>
  <c r="I400" i="8"/>
  <c r="I407" i="8"/>
  <c r="I408" i="8"/>
  <c r="I415" i="8"/>
  <c r="I416" i="8"/>
  <c r="I423" i="8"/>
  <c r="I424" i="8"/>
  <c r="I431" i="8"/>
  <c r="I432" i="8"/>
  <c r="I439" i="8"/>
  <c r="I440" i="8"/>
  <c r="I447" i="8"/>
  <c r="I448" i="8"/>
  <c r="I455" i="8"/>
  <c r="I456" i="8"/>
  <c r="I463" i="8"/>
  <c r="I464" i="8"/>
  <c r="I471" i="8"/>
  <c r="I472" i="8"/>
  <c r="I479" i="8"/>
  <c r="I480" i="8"/>
  <c r="I487" i="8"/>
  <c r="I488" i="8"/>
  <c r="I495" i="8"/>
  <c r="I496" i="8"/>
  <c r="I503" i="8"/>
  <c r="I504" i="8"/>
  <c r="I511" i="8"/>
  <c r="I512" i="8"/>
  <c r="I519" i="8"/>
  <c r="I520" i="8"/>
  <c r="I527" i="8"/>
  <c r="I528" i="8"/>
  <c r="I535" i="8"/>
  <c r="I536" i="8"/>
  <c r="I543" i="8"/>
  <c r="I544" i="8"/>
  <c r="I551" i="8"/>
  <c r="I552" i="8"/>
  <c r="I559" i="8"/>
  <c r="I560" i="8"/>
  <c r="I567" i="8"/>
  <c r="I568" i="8"/>
  <c r="I575" i="8"/>
  <c r="I576" i="8"/>
  <c r="I583" i="8"/>
  <c r="I584" i="8"/>
  <c r="I591" i="8"/>
  <c r="I592" i="8"/>
  <c r="I599" i="8"/>
  <c r="I600" i="8"/>
  <c r="I607" i="8"/>
  <c r="I608" i="8"/>
  <c r="I615" i="8"/>
  <c r="I616" i="8"/>
  <c r="I623" i="8"/>
  <c r="I624" i="8"/>
  <c r="I631" i="8"/>
  <c r="H3" i="8"/>
  <c r="H4" i="8"/>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H91" i="8"/>
  <c r="H92" i="8"/>
  <c r="H93" i="8"/>
  <c r="H94" i="8"/>
  <c r="H95" i="8"/>
  <c r="H96" i="8"/>
  <c r="H97" i="8"/>
  <c r="H98" i="8"/>
  <c r="H99" i="8"/>
  <c r="H100" i="8"/>
  <c r="H101" i="8"/>
  <c r="H102" i="8"/>
  <c r="H103" i="8"/>
  <c r="H104" i="8"/>
  <c r="H105" i="8"/>
  <c r="H106" i="8"/>
  <c r="H107" i="8"/>
  <c r="H108" i="8"/>
  <c r="H109" i="8"/>
  <c r="H110" i="8"/>
  <c r="H111" i="8"/>
  <c r="H112" i="8"/>
  <c r="H113" i="8"/>
  <c r="H114" i="8"/>
  <c r="H115" i="8"/>
  <c r="H116" i="8"/>
  <c r="H117" i="8"/>
  <c r="H118" i="8"/>
  <c r="H119" i="8"/>
  <c r="H120" i="8"/>
  <c r="H121" i="8"/>
  <c r="H122" i="8"/>
  <c r="H123" i="8"/>
  <c r="H124" i="8"/>
  <c r="H125" i="8"/>
  <c r="H126" i="8"/>
  <c r="H127" i="8"/>
  <c r="H128" i="8"/>
  <c r="H129" i="8"/>
  <c r="H130" i="8"/>
  <c r="H131" i="8"/>
  <c r="H132" i="8"/>
  <c r="H133" i="8"/>
  <c r="H134" i="8"/>
  <c r="H135" i="8"/>
  <c r="H136" i="8"/>
  <c r="H137" i="8"/>
  <c r="H138" i="8"/>
  <c r="H139" i="8"/>
  <c r="H140" i="8"/>
  <c r="H141" i="8"/>
  <c r="H142" i="8"/>
  <c r="H143" i="8"/>
  <c r="H144" i="8"/>
  <c r="H145" i="8"/>
  <c r="H146" i="8"/>
  <c r="H147" i="8"/>
  <c r="H148" i="8"/>
  <c r="H149" i="8"/>
  <c r="H150" i="8"/>
  <c r="H151" i="8"/>
  <c r="H152" i="8"/>
  <c r="H153" i="8"/>
  <c r="H154" i="8"/>
  <c r="H155" i="8"/>
  <c r="H156" i="8"/>
  <c r="H157" i="8"/>
  <c r="H158" i="8"/>
  <c r="H159" i="8"/>
  <c r="H160" i="8"/>
  <c r="H161" i="8"/>
  <c r="H162" i="8"/>
  <c r="H163" i="8"/>
  <c r="H164" i="8"/>
  <c r="H165" i="8"/>
  <c r="H166" i="8"/>
  <c r="H167" i="8"/>
  <c r="H168" i="8"/>
  <c r="H169" i="8"/>
  <c r="H170" i="8"/>
  <c r="H171" i="8"/>
  <c r="H172" i="8"/>
  <c r="H173" i="8"/>
  <c r="H174" i="8"/>
  <c r="H175" i="8"/>
  <c r="H176" i="8"/>
  <c r="H177" i="8"/>
  <c r="H178" i="8"/>
  <c r="H179" i="8"/>
  <c r="H180" i="8"/>
  <c r="H181" i="8"/>
  <c r="H182" i="8"/>
  <c r="H183" i="8"/>
  <c r="H184" i="8"/>
  <c r="H185" i="8"/>
  <c r="H186" i="8"/>
  <c r="H187" i="8"/>
  <c r="H188" i="8"/>
  <c r="H189" i="8"/>
  <c r="H190" i="8"/>
  <c r="H191" i="8"/>
  <c r="H192" i="8"/>
  <c r="H193" i="8"/>
  <c r="H194" i="8"/>
  <c r="H195" i="8"/>
  <c r="H196" i="8"/>
  <c r="H197" i="8"/>
  <c r="H198" i="8"/>
  <c r="H199" i="8"/>
  <c r="H200" i="8"/>
  <c r="H201" i="8"/>
  <c r="H202" i="8"/>
  <c r="H203" i="8"/>
  <c r="H204" i="8"/>
  <c r="H205" i="8"/>
  <c r="H206" i="8"/>
  <c r="H207" i="8"/>
  <c r="H208" i="8"/>
  <c r="H209" i="8"/>
  <c r="H210" i="8"/>
  <c r="H211" i="8"/>
  <c r="H212" i="8"/>
  <c r="H213" i="8"/>
  <c r="H214" i="8"/>
  <c r="H215" i="8"/>
  <c r="H216" i="8"/>
  <c r="H217" i="8"/>
  <c r="H218" i="8"/>
  <c r="H219" i="8"/>
  <c r="H220" i="8"/>
  <c r="H221" i="8"/>
  <c r="H222" i="8"/>
  <c r="H223" i="8"/>
  <c r="H224" i="8"/>
  <c r="H225" i="8"/>
  <c r="H226" i="8"/>
  <c r="H227" i="8"/>
  <c r="H228" i="8"/>
  <c r="H229" i="8"/>
  <c r="H230" i="8"/>
  <c r="H231" i="8"/>
  <c r="H232" i="8"/>
  <c r="H233" i="8"/>
  <c r="H234" i="8"/>
  <c r="H235" i="8"/>
  <c r="H236" i="8"/>
  <c r="H237" i="8"/>
  <c r="H238" i="8"/>
  <c r="H239" i="8"/>
  <c r="H240" i="8"/>
  <c r="H241" i="8"/>
  <c r="H242" i="8"/>
  <c r="H243" i="8"/>
  <c r="H244" i="8"/>
  <c r="H245" i="8"/>
  <c r="H246" i="8"/>
  <c r="H247" i="8"/>
  <c r="H248" i="8"/>
  <c r="H249" i="8"/>
  <c r="H250" i="8"/>
  <c r="H251" i="8"/>
  <c r="H252" i="8"/>
  <c r="H253" i="8"/>
  <c r="H254" i="8"/>
  <c r="H255" i="8"/>
  <c r="H256" i="8"/>
  <c r="H257" i="8"/>
  <c r="H258" i="8"/>
  <c r="H259" i="8"/>
  <c r="H260" i="8"/>
  <c r="H261" i="8"/>
  <c r="H262" i="8"/>
  <c r="H263" i="8"/>
  <c r="H264" i="8"/>
  <c r="H265" i="8"/>
  <c r="H266" i="8"/>
  <c r="H267" i="8"/>
  <c r="H268" i="8"/>
  <c r="H269" i="8"/>
  <c r="H270" i="8"/>
  <c r="H271" i="8"/>
  <c r="H272" i="8"/>
  <c r="H273" i="8"/>
  <c r="H274" i="8"/>
  <c r="H275" i="8"/>
  <c r="H276" i="8"/>
  <c r="H277" i="8"/>
  <c r="H278" i="8"/>
  <c r="H279" i="8"/>
  <c r="H280" i="8"/>
  <c r="H281" i="8"/>
  <c r="H282" i="8"/>
  <c r="H283" i="8"/>
  <c r="H284" i="8"/>
  <c r="H285" i="8"/>
  <c r="H286" i="8"/>
  <c r="H287" i="8"/>
  <c r="H288" i="8"/>
  <c r="H289" i="8"/>
  <c r="H290" i="8"/>
  <c r="H291" i="8"/>
  <c r="H292" i="8"/>
  <c r="H293" i="8"/>
  <c r="H294" i="8"/>
  <c r="H295" i="8"/>
  <c r="H296" i="8"/>
  <c r="H297" i="8"/>
  <c r="H298" i="8"/>
  <c r="H299" i="8"/>
  <c r="H300" i="8"/>
  <c r="H301" i="8"/>
  <c r="H302" i="8"/>
  <c r="H303" i="8"/>
  <c r="H304" i="8"/>
  <c r="H305" i="8"/>
  <c r="H306" i="8"/>
  <c r="H307" i="8"/>
  <c r="H308" i="8"/>
  <c r="H309" i="8"/>
  <c r="H310" i="8"/>
  <c r="H311" i="8"/>
  <c r="H312" i="8"/>
  <c r="H313" i="8"/>
  <c r="H314" i="8"/>
  <c r="H315" i="8"/>
  <c r="H316" i="8"/>
  <c r="H317" i="8"/>
  <c r="H318" i="8"/>
  <c r="H319" i="8"/>
  <c r="H320" i="8"/>
  <c r="H321" i="8"/>
  <c r="H322" i="8"/>
  <c r="H323" i="8"/>
  <c r="H324" i="8"/>
  <c r="H325" i="8"/>
  <c r="H326" i="8"/>
  <c r="H327" i="8"/>
  <c r="H328" i="8"/>
  <c r="H329" i="8"/>
  <c r="H330" i="8"/>
  <c r="H331" i="8"/>
  <c r="H332" i="8"/>
  <c r="H333" i="8"/>
  <c r="H334" i="8"/>
  <c r="H335" i="8"/>
  <c r="H336" i="8"/>
  <c r="H337" i="8"/>
  <c r="H338" i="8"/>
  <c r="H339" i="8"/>
  <c r="H340" i="8"/>
  <c r="H341" i="8"/>
  <c r="H342" i="8"/>
  <c r="H343" i="8"/>
  <c r="H344" i="8"/>
  <c r="H345" i="8"/>
  <c r="H346" i="8"/>
  <c r="H347" i="8"/>
  <c r="H348" i="8"/>
  <c r="H349" i="8"/>
  <c r="H350" i="8"/>
  <c r="H351" i="8"/>
  <c r="H352" i="8"/>
  <c r="H353" i="8"/>
  <c r="H354" i="8"/>
  <c r="H355" i="8"/>
  <c r="H356" i="8"/>
  <c r="H357" i="8"/>
  <c r="H358" i="8"/>
  <c r="H359" i="8"/>
  <c r="H360" i="8"/>
  <c r="H361" i="8"/>
  <c r="H362" i="8"/>
  <c r="H363" i="8"/>
  <c r="H364" i="8"/>
  <c r="H365" i="8"/>
  <c r="H366" i="8"/>
  <c r="H367" i="8"/>
  <c r="H368" i="8"/>
  <c r="H369" i="8"/>
  <c r="H370" i="8"/>
  <c r="H371" i="8"/>
  <c r="H372" i="8"/>
  <c r="H373" i="8"/>
  <c r="H374" i="8"/>
  <c r="H375" i="8"/>
  <c r="H376" i="8"/>
  <c r="H377" i="8"/>
  <c r="H378" i="8"/>
  <c r="H379" i="8"/>
  <c r="H380" i="8"/>
  <c r="H381" i="8"/>
  <c r="H382" i="8"/>
  <c r="H383" i="8"/>
  <c r="H384" i="8"/>
  <c r="H385" i="8"/>
  <c r="H386" i="8"/>
  <c r="H387" i="8"/>
  <c r="H388" i="8"/>
  <c r="H389" i="8"/>
  <c r="H390" i="8"/>
  <c r="H391" i="8"/>
  <c r="H392" i="8"/>
  <c r="H393" i="8"/>
  <c r="H394" i="8"/>
  <c r="H395" i="8"/>
  <c r="H396" i="8"/>
  <c r="H397" i="8"/>
  <c r="H398" i="8"/>
  <c r="H399" i="8"/>
  <c r="H400" i="8"/>
  <c r="H401" i="8"/>
  <c r="H402" i="8"/>
  <c r="H403" i="8"/>
  <c r="H404" i="8"/>
  <c r="H405" i="8"/>
  <c r="H406" i="8"/>
  <c r="H407" i="8"/>
  <c r="H408" i="8"/>
  <c r="H409" i="8"/>
  <c r="H410" i="8"/>
  <c r="H411" i="8"/>
  <c r="H412" i="8"/>
  <c r="H413" i="8"/>
  <c r="H414" i="8"/>
  <c r="H415" i="8"/>
  <c r="H416" i="8"/>
  <c r="H417" i="8"/>
  <c r="H418" i="8"/>
  <c r="H419" i="8"/>
  <c r="H420" i="8"/>
  <c r="H421" i="8"/>
  <c r="H422" i="8"/>
  <c r="H423" i="8"/>
  <c r="H424" i="8"/>
  <c r="H425" i="8"/>
  <c r="H426" i="8"/>
  <c r="H427" i="8"/>
  <c r="H428" i="8"/>
  <c r="H429" i="8"/>
  <c r="H430" i="8"/>
  <c r="H431" i="8"/>
  <c r="H432" i="8"/>
  <c r="H433" i="8"/>
  <c r="H434" i="8"/>
  <c r="H435" i="8"/>
  <c r="H436" i="8"/>
  <c r="H437" i="8"/>
  <c r="H438" i="8"/>
  <c r="H439" i="8"/>
  <c r="H440" i="8"/>
  <c r="H441" i="8"/>
  <c r="H442" i="8"/>
  <c r="H443" i="8"/>
  <c r="H444" i="8"/>
  <c r="H445" i="8"/>
  <c r="H446" i="8"/>
  <c r="H447" i="8"/>
  <c r="H448" i="8"/>
  <c r="H449" i="8"/>
  <c r="H450" i="8"/>
  <c r="H451" i="8"/>
  <c r="H452" i="8"/>
  <c r="H453" i="8"/>
  <c r="H454" i="8"/>
  <c r="H455" i="8"/>
  <c r="H456" i="8"/>
  <c r="H457" i="8"/>
  <c r="H458" i="8"/>
  <c r="H459" i="8"/>
  <c r="H460" i="8"/>
  <c r="H461" i="8"/>
  <c r="H462" i="8"/>
  <c r="H463" i="8"/>
  <c r="H464" i="8"/>
  <c r="H465" i="8"/>
  <c r="H466" i="8"/>
  <c r="H467" i="8"/>
  <c r="H468" i="8"/>
  <c r="H469" i="8"/>
  <c r="H470" i="8"/>
  <c r="H471" i="8"/>
  <c r="H472" i="8"/>
  <c r="H473" i="8"/>
  <c r="H474" i="8"/>
  <c r="H475" i="8"/>
  <c r="H476" i="8"/>
  <c r="H477" i="8"/>
  <c r="H478" i="8"/>
  <c r="H479" i="8"/>
  <c r="H480" i="8"/>
  <c r="H481" i="8"/>
  <c r="H482" i="8"/>
  <c r="H483" i="8"/>
  <c r="H484" i="8"/>
  <c r="H485" i="8"/>
  <c r="H486" i="8"/>
  <c r="H487" i="8"/>
  <c r="H488" i="8"/>
  <c r="H489" i="8"/>
  <c r="H490" i="8"/>
  <c r="H491" i="8"/>
  <c r="H492" i="8"/>
  <c r="H493" i="8"/>
  <c r="H494" i="8"/>
  <c r="H495" i="8"/>
  <c r="H496" i="8"/>
  <c r="H497" i="8"/>
  <c r="H498" i="8"/>
  <c r="H499" i="8"/>
  <c r="H500" i="8"/>
  <c r="H501" i="8"/>
  <c r="H502" i="8"/>
  <c r="H503" i="8"/>
  <c r="H504" i="8"/>
  <c r="H505" i="8"/>
  <c r="H506" i="8"/>
  <c r="H507" i="8"/>
  <c r="H508" i="8"/>
  <c r="H509" i="8"/>
  <c r="H510" i="8"/>
  <c r="H511" i="8"/>
  <c r="H512" i="8"/>
  <c r="H513" i="8"/>
  <c r="H514" i="8"/>
  <c r="H515" i="8"/>
  <c r="H516" i="8"/>
  <c r="H517" i="8"/>
  <c r="H518" i="8"/>
  <c r="H519" i="8"/>
  <c r="H520" i="8"/>
  <c r="H521" i="8"/>
  <c r="H522" i="8"/>
  <c r="H523" i="8"/>
  <c r="H524" i="8"/>
  <c r="H525" i="8"/>
  <c r="H526" i="8"/>
  <c r="H527" i="8"/>
  <c r="H528" i="8"/>
  <c r="H529" i="8"/>
  <c r="H530" i="8"/>
  <c r="H531" i="8"/>
  <c r="H532" i="8"/>
  <c r="H533" i="8"/>
  <c r="H534" i="8"/>
  <c r="H535" i="8"/>
  <c r="H536" i="8"/>
  <c r="H537" i="8"/>
  <c r="H538" i="8"/>
  <c r="H539" i="8"/>
  <c r="H540" i="8"/>
  <c r="H541" i="8"/>
  <c r="H542" i="8"/>
  <c r="H543" i="8"/>
  <c r="H544" i="8"/>
  <c r="H545" i="8"/>
  <c r="H546" i="8"/>
  <c r="H547" i="8"/>
  <c r="H548" i="8"/>
  <c r="H549" i="8"/>
  <c r="H550" i="8"/>
  <c r="H551" i="8"/>
  <c r="H552" i="8"/>
  <c r="H553" i="8"/>
  <c r="H554" i="8"/>
  <c r="H555" i="8"/>
  <c r="H556" i="8"/>
  <c r="H557" i="8"/>
  <c r="H558" i="8"/>
  <c r="H559" i="8"/>
  <c r="H560" i="8"/>
  <c r="H561" i="8"/>
  <c r="H562" i="8"/>
  <c r="H563" i="8"/>
  <c r="H564" i="8"/>
  <c r="H565" i="8"/>
  <c r="H566" i="8"/>
  <c r="H567" i="8"/>
  <c r="H568" i="8"/>
  <c r="H569" i="8"/>
  <c r="H570" i="8"/>
  <c r="H571" i="8"/>
  <c r="H572" i="8"/>
  <c r="H573" i="8"/>
  <c r="H574" i="8"/>
  <c r="H575" i="8"/>
  <c r="H576" i="8"/>
  <c r="H577" i="8"/>
  <c r="H578" i="8"/>
  <c r="H579" i="8"/>
  <c r="H580" i="8"/>
  <c r="H581" i="8"/>
  <c r="H582" i="8"/>
  <c r="H583" i="8"/>
  <c r="H584" i="8"/>
  <c r="H585" i="8"/>
  <c r="H586" i="8"/>
  <c r="H587" i="8"/>
  <c r="H588" i="8"/>
  <c r="H589" i="8"/>
  <c r="H590" i="8"/>
  <c r="H591" i="8"/>
  <c r="H592" i="8"/>
  <c r="H593" i="8"/>
  <c r="H594" i="8"/>
  <c r="H595" i="8"/>
  <c r="H596" i="8"/>
  <c r="H597" i="8"/>
  <c r="H598" i="8"/>
  <c r="H599" i="8"/>
  <c r="H600" i="8"/>
  <c r="H601" i="8"/>
  <c r="H602" i="8"/>
  <c r="H603" i="8"/>
  <c r="H604" i="8"/>
  <c r="H605" i="8"/>
  <c r="H606" i="8"/>
  <c r="H607" i="8"/>
  <c r="H608" i="8"/>
  <c r="H609" i="8"/>
  <c r="H610" i="8"/>
  <c r="H611" i="8"/>
  <c r="H612" i="8"/>
  <c r="H613" i="8"/>
  <c r="H614" i="8"/>
  <c r="H615" i="8"/>
  <c r="H616" i="8"/>
  <c r="H617" i="8"/>
  <c r="H618" i="8"/>
  <c r="H619" i="8"/>
  <c r="H620" i="8"/>
  <c r="H621" i="8"/>
  <c r="H622" i="8"/>
  <c r="H623" i="8"/>
  <c r="H624" i="8"/>
  <c r="H625" i="8"/>
  <c r="H626" i="8"/>
  <c r="H627" i="8"/>
  <c r="H628" i="8"/>
  <c r="H629" i="8"/>
  <c r="H630" i="8"/>
  <c r="H631" i="8"/>
  <c r="G3" i="8"/>
  <c r="I3" i="8" s="1"/>
  <c r="G4" i="8"/>
  <c r="I4" i="8" s="1"/>
  <c r="G5" i="8"/>
  <c r="I5" i="8" s="1"/>
  <c r="G6" i="8"/>
  <c r="I6" i="8" s="1"/>
  <c r="G7" i="8"/>
  <c r="G8" i="8"/>
  <c r="G9" i="8"/>
  <c r="I9" i="8" s="1"/>
  <c r="G10" i="8"/>
  <c r="I10" i="8" s="1"/>
  <c r="G11" i="8"/>
  <c r="I11" i="8" s="1"/>
  <c r="G12" i="8"/>
  <c r="I12" i="8" s="1"/>
  <c r="G13" i="8"/>
  <c r="I13" i="8" s="1"/>
  <c r="G14" i="8"/>
  <c r="I14" i="8" s="1"/>
  <c r="G15" i="8"/>
  <c r="G16" i="8"/>
  <c r="G17" i="8"/>
  <c r="I17" i="8" s="1"/>
  <c r="G18" i="8"/>
  <c r="I18" i="8" s="1"/>
  <c r="G19" i="8"/>
  <c r="I19" i="8" s="1"/>
  <c r="G20" i="8"/>
  <c r="I20" i="8" s="1"/>
  <c r="G21" i="8"/>
  <c r="I21" i="8" s="1"/>
  <c r="G22" i="8"/>
  <c r="I22" i="8" s="1"/>
  <c r="G23" i="8"/>
  <c r="G24" i="8"/>
  <c r="G25" i="8"/>
  <c r="I25" i="8" s="1"/>
  <c r="G26" i="8"/>
  <c r="I26" i="8" s="1"/>
  <c r="G27" i="8"/>
  <c r="I27" i="8" s="1"/>
  <c r="G28" i="8"/>
  <c r="I28" i="8" s="1"/>
  <c r="G29" i="8"/>
  <c r="I29" i="8" s="1"/>
  <c r="G30" i="8"/>
  <c r="I30" i="8" s="1"/>
  <c r="G31" i="8"/>
  <c r="G32" i="8"/>
  <c r="G33" i="8"/>
  <c r="I33" i="8" s="1"/>
  <c r="G34" i="8"/>
  <c r="I34" i="8" s="1"/>
  <c r="G35" i="8"/>
  <c r="I35" i="8" s="1"/>
  <c r="G36" i="8"/>
  <c r="I36" i="8" s="1"/>
  <c r="G37" i="8"/>
  <c r="I37" i="8" s="1"/>
  <c r="G38" i="8"/>
  <c r="I38" i="8" s="1"/>
  <c r="G39" i="8"/>
  <c r="G40" i="8"/>
  <c r="G41" i="8"/>
  <c r="I41" i="8" s="1"/>
  <c r="G42" i="8"/>
  <c r="I42" i="8" s="1"/>
  <c r="G43" i="8"/>
  <c r="I43" i="8" s="1"/>
  <c r="G44" i="8"/>
  <c r="I44" i="8" s="1"/>
  <c r="G45" i="8"/>
  <c r="I45" i="8" s="1"/>
  <c r="G46" i="8"/>
  <c r="I46" i="8" s="1"/>
  <c r="G47" i="8"/>
  <c r="G48" i="8"/>
  <c r="G49" i="8"/>
  <c r="I49" i="8" s="1"/>
  <c r="G50" i="8"/>
  <c r="I50" i="8" s="1"/>
  <c r="G51" i="8"/>
  <c r="I51" i="8" s="1"/>
  <c r="G52" i="8"/>
  <c r="I52" i="8" s="1"/>
  <c r="G53" i="8"/>
  <c r="I53" i="8" s="1"/>
  <c r="G54" i="8"/>
  <c r="I54" i="8" s="1"/>
  <c r="G55" i="8"/>
  <c r="G56" i="8"/>
  <c r="G57" i="8"/>
  <c r="I57" i="8" s="1"/>
  <c r="G58" i="8"/>
  <c r="I58" i="8" s="1"/>
  <c r="G59" i="8"/>
  <c r="I59" i="8" s="1"/>
  <c r="G60" i="8"/>
  <c r="I60" i="8" s="1"/>
  <c r="G61" i="8"/>
  <c r="I61" i="8" s="1"/>
  <c r="G62" i="8"/>
  <c r="I62" i="8" s="1"/>
  <c r="G63" i="8"/>
  <c r="G64" i="8"/>
  <c r="G65" i="8"/>
  <c r="I65" i="8" s="1"/>
  <c r="G66" i="8"/>
  <c r="I66" i="8" s="1"/>
  <c r="G67" i="8"/>
  <c r="I67" i="8" s="1"/>
  <c r="G68" i="8"/>
  <c r="I68" i="8" s="1"/>
  <c r="G69" i="8"/>
  <c r="I69" i="8" s="1"/>
  <c r="G70" i="8"/>
  <c r="I70" i="8" s="1"/>
  <c r="G71" i="8"/>
  <c r="G72" i="8"/>
  <c r="G73" i="8"/>
  <c r="I73" i="8" s="1"/>
  <c r="G74" i="8"/>
  <c r="I74" i="8" s="1"/>
  <c r="G75" i="8"/>
  <c r="I75" i="8" s="1"/>
  <c r="G76" i="8"/>
  <c r="I76" i="8" s="1"/>
  <c r="G77" i="8"/>
  <c r="I77" i="8" s="1"/>
  <c r="G78" i="8"/>
  <c r="I78" i="8" s="1"/>
  <c r="G79" i="8"/>
  <c r="G80" i="8"/>
  <c r="G81" i="8"/>
  <c r="I81" i="8" s="1"/>
  <c r="G82" i="8"/>
  <c r="I82" i="8" s="1"/>
  <c r="G83" i="8"/>
  <c r="I83" i="8" s="1"/>
  <c r="G84" i="8"/>
  <c r="I84" i="8" s="1"/>
  <c r="G85" i="8"/>
  <c r="I85" i="8" s="1"/>
  <c r="G86" i="8"/>
  <c r="I86" i="8" s="1"/>
  <c r="G87" i="8"/>
  <c r="G88" i="8"/>
  <c r="G89" i="8"/>
  <c r="I89" i="8" s="1"/>
  <c r="G90" i="8"/>
  <c r="I90" i="8" s="1"/>
  <c r="G91" i="8"/>
  <c r="I91" i="8" s="1"/>
  <c r="G92" i="8"/>
  <c r="I92" i="8" s="1"/>
  <c r="G93" i="8"/>
  <c r="I93" i="8" s="1"/>
  <c r="G94" i="8"/>
  <c r="I94" i="8" s="1"/>
  <c r="G95" i="8"/>
  <c r="G96" i="8"/>
  <c r="G97" i="8"/>
  <c r="I97" i="8" s="1"/>
  <c r="G98" i="8"/>
  <c r="I98" i="8" s="1"/>
  <c r="G99" i="8"/>
  <c r="I99" i="8" s="1"/>
  <c r="G100" i="8"/>
  <c r="I100" i="8" s="1"/>
  <c r="G101" i="8"/>
  <c r="I101" i="8" s="1"/>
  <c r="G102" i="8"/>
  <c r="I102" i="8" s="1"/>
  <c r="G103" i="8"/>
  <c r="G104" i="8"/>
  <c r="G105" i="8"/>
  <c r="I105" i="8" s="1"/>
  <c r="G106" i="8"/>
  <c r="I106" i="8" s="1"/>
  <c r="G107" i="8"/>
  <c r="I107" i="8" s="1"/>
  <c r="G108" i="8"/>
  <c r="I108" i="8" s="1"/>
  <c r="G109" i="8"/>
  <c r="I109" i="8" s="1"/>
  <c r="G110" i="8"/>
  <c r="I110" i="8" s="1"/>
  <c r="G111" i="8"/>
  <c r="G112" i="8"/>
  <c r="G113" i="8"/>
  <c r="I113" i="8" s="1"/>
  <c r="G114" i="8"/>
  <c r="I114" i="8" s="1"/>
  <c r="G115" i="8"/>
  <c r="I115" i="8" s="1"/>
  <c r="G116" i="8"/>
  <c r="I116" i="8" s="1"/>
  <c r="G117" i="8"/>
  <c r="I117" i="8" s="1"/>
  <c r="G118" i="8"/>
  <c r="I118" i="8" s="1"/>
  <c r="G119" i="8"/>
  <c r="G120" i="8"/>
  <c r="G121" i="8"/>
  <c r="I121" i="8" s="1"/>
  <c r="G122" i="8"/>
  <c r="I122" i="8" s="1"/>
  <c r="G123" i="8"/>
  <c r="I123" i="8" s="1"/>
  <c r="G124" i="8"/>
  <c r="I124" i="8" s="1"/>
  <c r="G125" i="8"/>
  <c r="I125" i="8" s="1"/>
  <c r="G126" i="8"/>
  <c r="I126" i="8" s="1"/>
  <c r="G127" i="8"/>
  <c r="G128" i="8"/>
  <c r="G129" i="8"/>
  <c r="I129" i="8" s="1"/>
  <c r="G130" i="8"/>
  <c r="I130" i="8" s="1"/>
  <c r="G131" i="8"/>
  <c r="I131" i="8" s="1"/>
  <c r="G132" i="8"/>
  <c r="I132" i="8" s="1"/>
  <c r="G133" i="8"/>
  <c r="I133" i="8" s="1"/>
  <c r="G134" i="8"/>
  <c r="I134" i="8" s="1"/>
  <c r="G135" i="8"/>
  <c r="G136" i="8"/>
  <c r="G137" i="8"/>
  <c r="I137" i="8" s="1"/>
  <c r="G138" i="8"/>
  <c r="I138" i="8" s="1"/>
  <c r="G139" i="8"/>
  <c r="I139" i="8" s="1"/>
  <c r="G140" i="8"/>
  <c r="I140" i="8" s="1"/>
  <c r="G141" i="8"/>
  <c r="I141" i="8" s="1"/>
  <c r="G142" i="8"/>
  <c r="I142" i="8" s="1"/>
  <c r="G143" i="8"/>
  <c r="G144" i="8"/>
  <c r="G145" i="8"/>
  <c r="I145" i="8" s="1"/>
  <c r="G146" i="8"/>
  <c r="I146" i="8" s="1"/>
  <c r="G147" i="8"/>
  <c r="I147" i="8" s="1"/>
  <c r="G148" i="8"/>
  <c r="I148" i="8" s="1"/>
  <c r="G149" i="8"/>
  <c r="I149" i="8" s="1"/>
  <c r="G150" i="8"/>
  <c r="I150" i="8" s="1"/>
  <c r="G151" i="8"/>
  <c r="G152" i="8"/>
  <c r="G153" i="8"/>
  <c r="I153" i="8" s="1"/>
  <c r="G154" i="8"/>
  <c r="I154" i="8" s="1"/>
  <c r="G155" i="8"/>
  <c r="I155" i="8" s="1"/>
  <c r="G156" i="8"/>
  <c r="I156" i="8" s="1"/>
  <c r="G157" i="8"/>
  <c r="I157" i="8" s="1"/>
  <c r="G158" i="8"/>
  <c r="I158" i="8" s="1"/>
  <c r="G159" i="8"/>
  <c r="G160" i="8"/>
  <c r="G161" i="8"/>
  <c r="I161" i="8" s="1"/>
  <c r="G162" i="8"/>
  <c r="I162" i="8" s="1"/>
  <c r="G163" i="8"/>
  <c r="I163" i="8" s="1"/>
  <c r="G164" i="8"/>
  <c r="I164" i="8" s="1"/>
  <c r="G165" i="8"/>
  <c r="I165" i="8" s="1"/>
  <c r="G166" i="8"/>
  <c r="I166" i="8" s="1"/>
  <c r="G167" i="8"/>
  <c r="G168" i="8"/>
  <c r="G169" i="8"/>
  <c r="I169" i="8" s="1"/>
  <c r="G170" i="8"/>
  <c r="I170" i="8" s="1"/>
  <c r="G171" i="8"/>
  <c r="I171" i="8" s="1"/>
  <c r="G172" i="8"/>
  <c r="I172" i="8" s="1"/>
  <c r="G173" i="8"/>
  <c r="I173" i="8" s="1"/>
  <c r="G174" i="8"/>
  <c r="I174" i="8" s="1"/>
  <c r="G175" i="8"/>
  <c r="G176" i="8"/>
  <c r="G177" i="8"/>
  <c r="I177" i="8" s="1"/>
  <c r="G178" i="8"/>
  <c r="I178" i="8" s="1"/>
  <c r="G179" i="8"/>
  <c r="I179" i="8" s="1"/>
  <c r="G180" i="8"/>
  <c r="I180" i="8" s="1"/>
  <c r="G181" i="8"/>
  <c r="I181" i="8" s="1"/>
  <c r="G182" i="8"/>
  <c r="I182" i="8" s="1"/>
  <c r="G183" i="8"/>
  <c r="G184" i="8"/>
  <c r="G185" i="8"/>
  <c r="I185" i="8" s="1"/>
  <c r="G186" i="8"/>
  <c r="I186" i="8" s="1"/>
  <c r="G187" i="8"/>
  <c r="I187" i="8" s="1"/>
  <c r="G188" i="8"/>
  <c r="I188" i="8" s="1"/>
  <c r="G189" i="8"/>
  <c r="I189" i="8" s="1"/>
  <c r="G190" i="8"/>
  <c r="I190" i="8" s="1"/>
  <c r="G191" i="8"/>
  <c r="G192" i="8"/>
  <c r="G193" i="8"/>
  <c r="I193" i="8" s="1"/>
  <c r="G194" i="8"/>
  <c r="I194" i="8" s="1"/>
  <c r="G195" i="8"/>
  <c r="I195" i="8" s="1"/>
  <c r="G196" i="8"/>
  <c r="I196" i="8" s="1"/>
  <c r="G197" i="8"/>
  <c r="I197" i="8" s="1"/>
  <c r="G198" i="8"/>
  <c r="I198" i="8" s="1"/>
  <c r="G199" i="8"/>
  <c r="G200" i="8"/>
  <c r="G201" i="8"/>
  <c r="I201" i="8" s="1"/>
  <c r="G202" i="8"/>
  <c r="I202" i="8" s="1"/>
  <c r="G203" i="8"/>
  <c r="I203" i="8" s="1"/>
  <c r="G204" i="8"/>
  <c r="I204" i="8" s="1"/>
  <c r="G205" i="8"/>
  <c r="I205" i="8" s="1"/>
  <c r="G206" i="8"/>
  <c r="I206" i="8" s="1"/>
  <c r="G207" i="8"/>
  <c r="G208" i="8"/>
  <c r="G209" i="8"/>
  <c r="I209" i="8" s="1"/>
  <c r="G210" i="8"/>
  <c r="I210" i="8" s="1"/>
  <c r="G211" i="8"/>
  <c r="I211" i="8" s="1"/>
  <c r="G212" i="8"/>
  <c r="I212" i="8" s="1"/>
  <c r="G213" i="8"/>
  <c r="I213" i="8" s="1"/>
  <c r="G214" i="8"/>
  <c r="I214" i="8" s="1"/>
  <c r="G215" i="8"/>
  <c r="G216" i="8"/>
  <c r="G217" i="8"/>
  <c r="I217" i="8" s="1"/>
  <c r="G218" i="8"/>
  <c r="I218" i="8" s="1"/>
  <c r="G219" i="8"/>
  <c r="I219" i="8" s="1"/>
  <c r="G220" i="8"/>
  <c r="I220" i="8" s="1"/>
  <c r="G221" i="8"/>
  <c r="I221" i="8" s="1"/>
  <c r="G222" i="8"/>
  <c r="I222" i="8" s="1"/>
  <c r="G223" i="8"/>
  <c r="G224" i="8"/>
  <c r="G225" i="8"/>
  <c r="I225" i="8" s="1"/>
  <c r="G226" i="8"/>
  <c r="I226" i="8" s="1"/>
  <c r="G227" i="8"/>
  <c r="I227" i="8" s="1"/>
  <c r="G228" i="8"/>
  <c r="I228" i="8" s="1"/>
  <c r="G229" i="8"/>
  <c r="I229" i="8" s="1"/>
  <c r="G230" i="8"/>
  <c r="I230" i="8" s="1"/>
  <c r="G231" i="8"/>
  <c r="G232" i="8"/>
  <c r="G233" i="8"/>
  <c r="I233" i="8" s="1"/>
  <c r="G234" i="8"/>
  <c r="I234" i="8" s="1"/>
  <c r="G235" i="8"/>
  <c r="I235" i="8" s="1"/>
  <c r="G236" i="8"/>
  <c r="I236" i="8" s="1"/>
  <c r="G237" i="8"/>
  <c r="I237" i="8" s="1"/>
  <c r="G238" i="8"/>
  <c r="I238" i="8" s="1"/>
  <c r="G239" i="8"/>
  <c r="G240" i="8"/>
  <c r="G241" i="8"/>
  <c r="I241" i="8" s="1"/>
  <c r="G242" i="8"/>
  <c r="I242" i="8" s="1"/>
  <c r="G243" i="8"/>
  <c r="I243" i="8" s="1"/>
  <c r="G244" i="8"/>
  <c r="I244" i="8" s="1"/>
  <c r="G245" i="8"/>
  <c r="I245" i="8" s="1"/>
  <c r="G246" i="8"/>
  <c r="I246" i="8" s="1"/>
  <c r="G247" i="8"/>
  <c r="G248" i="8"/>
  <c r="G249" i="8"/>
  <c r="I249" i="8" s="1"/>
  <c r="G250" i="8"/>
  <c r="I250" i="8" s="1"/>
  <c r="G251" i="8"/>
  <c r="I251" i="8" s="1"/>
  <c r="G252" i="8"/>
  <c r="I252" i="8" s="1"/>
  <c r="G253" i="8"/>
  <c r="I253" i="8" s="1"/>
  <c r="G254" i="8"/>
  <c r="I254" i="8" s="1"/>
  <c r="G255" i="8"/>
  <c r="G256" i="8"/>
  <c r="G257" i="8"/>
  <c r="I257" i="8" s="1"/>
  <c r="G258" i="8"/>
  <c r="I258" i="8" s="1"/>
  <c r="G259" i="8"/>
  <c r="I259" i="8" s="1"/>
  <c r="G260" i="8"/>
  <c r="I260" i="8" s="1"/>
  <c r="G261" i="8"/>
  <c r="I261" i="8" s="1"/>
  <c r="G262" i="8"/>
  <c r="I262" i="8" s="1"/>
  <c r="G263" i="8"/>
  <c r="G264" i="8"/>
  <c r="G265" i="8"/>
  <c r="I265" i="8" s="1"/>
  <c r="G266" i="8"/>
  <c r="I266" i="8" s="1"/>
  <c r="G267" i="8"/>
  <c r="I267" i="8" s="1"/>
  <c r="G268" i="8"/>
  <c r="I268" i="8" s="1"/>
  <c r="G269" i="8"/>
  <c r="I269" i="8" s="1"/>
  <c r="G270" i="8"/>
  <c r="I270" i="8" s="1"/>
  <c r="G271" i="8"/>
  <c r="G272" i="8"/>
  <c r="G273" i="8"/>
  <c r="I273" i="8" s="1"/>
  <c r="G274" i="8"/>
  <c r="I274" i="8" s="1"/>
  <c r="G275" i="8"/>
  <c r="I275" i="8" s="1"/>
  <c r="G276" i="8"/>
  <c r="I276" i="8" s="1"/>
  <c r="G277" i="8"/>
  <c r="I277" i="8" s="1"/>
  <c r="G278" i="8"/>
  <c r="I278" i="8" s="1"/>
  <c r="G279" i="8"/>
  <c r="G280" i="8"/>
  <c r="G281" i="8"/>
  <c r="I281" i="8" s="1"/>
  <c r="G282" i="8"/>
  <c r="I282" i="8" s="1"/>
  <c r="G283" i="8"/>
  <c r="I283" i="8" s="1"/>
  <c r="G284" i="8"/>
  <c r="I284" i="8" s="1"/>
  <c r="G285" i="8"/>
  <c r="I285" i="8" s="1"/>
  <c r="G286" i="8"/>
  <c r="I286" i="8" s="1"/>
  <c r="G287" i="8"/>
  <c r="G288" i="8"/>
  <c r="G289" i="8"/>
  <c r="I289" i="8" s="1"/>
  <c r="G290" i="8"/>
  <c r="I290" i="8" s="1"/>
  <c r="G291" i="8"/>
  <c r="I291" i="8" s="1"/>
  <c r="G292" i="8"/>
  <c r="I292" i="8" s="1"/>
  <c r="G293" i="8"/>
  <c r="I293" i="8" s="1"/>
  <c r="G294" i="8"/>
  <c r="I294" i="8" s="1"/>
  <c r="G295" i="8"/>
  <c r="G296" i="8"/>
  <c r="G297" i="8"/>
  <c r="I297" i="8" s="1"/>
  <c r="G298" i="8"/>
  <c r="I298" i="8" s="1"/>
  <c r="G299" i="8"/>
  <c r="I299" i="8" s="1"/>
  <c r="G300" i="8"/>
  <c r="I300" i="8" s="1"/>
  <c r="G301" i="8"/>
  <c r="I301" i="8" s="1"/>
  <c r="G302" i="8"/>
  <c r="I302" i="8" s="1"/>
  <c r="G303" i="8"/>
  <c r="G304" i="8"/>
  <c r="G305" i="8"/>
  <c r="I305" i="8" s="1"/>
  <c r="G306" i="8"/>
  <c r="I306" i="8" s="1"/>
  <c r="G307" i="8"/>
  <c r="I307" i="8" s="1"/>
  <c r="G308" i="8"/>
  <c r="I308" i="8" s="1"/>
  <c r="G309" i="8"/>
  <c r="I309" i="8" s="1"/>
  <c r="G310" i="8"/>
  <c r="I310" i="8" s="1"/>
  <c r="G311" i="8"/>
  <c r="G312" i="8"/>
  <c r="G313" i="8"/>
  <c r="I313" i="8" s="1"/>
  <c r="G314" i="8"/>
  <c r="I314" i="8" s="1"/>
  <c r="G315" i="8"/>
  <c r="I315" i="8" s="1"/>
  <c r="G316" i="8"/>
  <c r="I316" i="8" s="1"/>
  <c r="G317" i="8"/>
  <c r="I317" i="8" s="1"/>
  <c r="G318" i="8"/>
  <c r="I318" i="8" s="1"/>
  <c r="G319" i="8"/>
  <c r="G320" i="8"/>
  <c r="G321" i="8"/>
  <c r="I321" i="8" s="1"/>
  <c r="G322" i="8"/>
  <c r="I322" i="8" s="1"/>
  <c r="G323" i="8"/>
  <c r="I323" i="8" s="1"/>
  <c r="G324" i="8"/>
  <c r="I324" i="8" s="1"/>
  <c r="G325" i="8"/>
  <c r="I325" i="8" s="1"/>
  <c r="G326" i="8"/>
  <c r="I326" i="8" s="1"/>
  <c r="G327" i="8"/>
  <c r="G328" i="8"/>
  <c r="G329" i="8"/>
  <c r="I329" i="8" s="1"/>
  <c r="G330" i="8"/>
  <c r="I330" i="8" s="1"/>
  <c r="G331" i="8"/>
  <c r="I331" i="8" s="1"/>
  <c r="G332" i="8"/>
  <c r="I332" i="8" s="1"/>
  <c r="G333" i="8"/>
  <c r="I333" i="8" s="1"/>
  <c r="G334" i="8"/>
  <c r="I334" i="8" s="1"/>
  <c r="G335" i="8"/>
  <c r="G336" i="8"/>
  <c r="G337" i="8"/>
  <c r="I337" i="8" s="1"/>
  <c r="G338" i="8"/>
  <c r="I338" i="8" s="1"/>
  <c r="G339" i="8"/>
  <c r="I339" i="8" s="1"/>
  <c r="G340" i="8"/>
  <c r="I340" i="8" s="1"/>
  <c r="G341" i="8"/>
  <c r="I341" i="8" s="1"/>
  <c r="G342" i="8"/>
  <c r="I342" i="8" s="1"/>
  <c r="G343" i="8"/>
  <c r="G344" i="8"/>
  <c r="G345" i="8"/>
  <c r="I345" i="8" s="1"/>
  <c r="G346" i="8"/>
  <c r="I346" i="8" s="1"/>
  <c r="G347" i="8"/>
  <c r="I347" i="8" s="1"/>
  <c r="G348" i="8"/>
  <c r="I348" i="8" s="1"/>
  <c r="G349" i="8"/>
  <c r="I349" i="8" s="1"/>
  <c r="G350" i="8"/>
  <c r="I350" i="8" s="1"/>
  <c r="G351" i="8"/>
  <c r="G352" i="8"/>
  <c r="G353" i="8"/>
  <c r="I353" i="8" s="1"/>
  <c r="G354" i="8"/>
  <c r="I354" i="8" s="1"/>
  <c r="G355" i="8"/>
  <c r="I355" i="8" s="1"/>
  <c r="G356" i="8"/>
  <c r="I356" i="8" s="1"/>
  <c r="G357" i="8"/>
  <c r="I357" i="8" s="1"/>
  <c r="G358" i="8"/>
  <c r="I358" i="8" s="1"/>
  <c r="G359" i="8"/>
  <c r="G360" i="8"/>
  <c r="G361" i="8"/>
  <c r="I361" i="8" s="1"/>
  <c r="G362" i="8"/>
  <c r="I362" i="8" s="1"/>
  <c r="G363" i="8"/>
  <c r="I363" i="8" s="1"/>
  <c r="G364" i="8"/>
  <c r="I364" i="8" s="1"/>
  <c r="G365" i="8"/>
  <c r="I365" i="8" s="1"/>
  <c r="G366" i="8"/>
  <c r="I366" i="8" s="1"/>
  <c r="G367" i="8"/>
  <c r="G368" i="8"/>
  <c r="G369" i="8"/>
  <c r="I369" i="8" s="1"/>
  <c r="G370" i="8"/>
  <c r="I370" i="8" s="1"/>
  <c r="G371" i="8"/>
  <c r="I371" i="8" s="1"/>
  <c r="G372" i="8"/>
  <c r="I372" i="8" s="1"/>
  <c r="G373" i="8"/>
  <c r="I373" i="8" s="1"/>
  <c r="G374" i="8"/>
  <c r="I374" i="8" s="1"/>
  <c r="G375" i="8"/>
  <c r="G376" i="8"/>
  <c r="G377" i="8"/>
  <c r="I377" i="8" s="1"/>
  <c r="G378" i="8"/>
  <c r="I378" i="8" s="1"/>
  <c r="G379" i="8"/>
  <c r="I379" i="8" s="1"/>
  <c r="G380" i="8"/>
  <c r="I380" i="8" s="1"/>
  <c r="G381" i="8"/>
  <c r="I381" i="8" s="1"/>
  <c r="G382" i="8"/>
  <c r="I382" i="8" s="1"/>
  <c r="G383" i="8"/>
  <c r="G384" i="8"/>
  <c r="G385" i="8"/>
  <c r="I385" i="8" s="1"/>
  <c r="G386" i="8"/>
  <c r="I386" i="8" s="1"/>
  <c r="G387" i="8"/>
  <c r="I387" i="8" s="1"/>
  <c r="G388" i="8"/>
  <c r="I388" i="8" s="1"/>
  <c r="G389" i="8"/>
  <c r="I389" i="8" s="1"/>
  <c r="G390" i="8"/>
  <c r="I390" i="8" s="1"/>
  <c r="G391" i="8"/>
  <c r="G392" i="8"/>
  <c r="G393" i="8"/>
  <c r="I393" i="8" s="1"/>
  <c r="G394" i="8"/>
  <c r="I394" i="8" s="1"/>
  <c r="G395" i="8"/>
  <c r="I395" i="8" s="1"/>
  <c r="G396" i="8"/>
  <c r="I396" i="8" s="1"/>
  <c r="G397" i="8"/>
  <c r="I397" i="8" s="1"/>
  <c r="G398" i="8"/>
  <c r="I398" i="8" s="1"/>
  <c r="G399" i="8"/>
  <c r="G400" i="8"/>
  <c r="G401" i="8"/>
  <c r="I401" i="8" s="1"/>
  <c r="G402" i="8"/>
  <c r="I402" i="8" s="1"/>
  <c r="G403" i="8"/>
  <c r="I403" i="8" s="1"/>
  <c r="G404" i="8"/>
  <c r="I404" i="8" s="1"/>
  <c r="G405" i="8"/>
  <c r="I405" i="8" s="1"/>
  <c r="G406" i="8"/>
  <c r="I406" i="8" s="1"/>
  <c r="G407" i="8"/>
  <c r="G408" i="8"/>
  <c r="G409" i="8"/>
  <c r="I409" i="8" s="1"/>
  <c r="G410" i="8"/>
  <c r="I410" i="8" s="1"/>
  <c r="G411" i="8"/>
  <c r="I411" i="8" s="1"/>
  <c r="G412" i="8"/>
  <c r="I412" i="8" s="1"/>
  <c r="G413" i="8"/>
  <c r="I413" i="8" s="1"/>
  <c r="G414" i="8"/>
  <c r="I414" i="8" s="1"/>
  <c r="G415" i="8"/>
  <c r="G416" i="8"/>
  <c r="G417" i="8"/>
  <c r="I417" i="8" s="1"/>
  <c r="G418" i="8"/>
  <c r="I418" i="8" s="1"/>
  <c r="G419" i="8"/>
  <c r="I419" i="8" s="1"/>
  <c r="G420" i="8"/>
  <c r="I420" i="8" s="1"/>
  <c r="G421" i="8"/>
  <c r="I421" i="8" s="1"/>
  <c r="G422" i="8"/>
  <c r="I422" i="8" s="1"/>
  <c r="G423" i="8"/>
  <c r="G424" i="8"/>
  <c r="G425" i="8"/>
  <c r="I425" i="8" s="1"/>
  <c r="G426" i="8"/>
  <c r="I426" i="8" s="1"/>
  <c r="G427" i="8"/>
  <c r="I427" i="8" s="1"/>
  <c r="G428" i="8"/>
  <c r="I428" i="8" s="1"/>
  <c r="G429" i="8"/>
  <c r="I429" i="8" s="1"/>
  <c r="G430" i="8"/>
  <c r="I430" i="8" s="1"/>
  <c r="G431" i="8"/>
  <c r="G432" i="8"/>
  <c r="G433" i="8"/>
  <c r="I433" i="8" s="1"/>
  <c r="G434" i="8"/>
  <c r="I434" i="8" s="1"/>
  <c r="G435" i="8"/>
  <c r="I435" i="8" s="1"/>
  <c r="G436" i="8"/>
  <c r="I436" i="8" s="1"/>
  <c r="G437" i="8"/>
  <c r="I437" i="8" s="1"/>
  <c r="G438" i="8"/>
  <c r="I438" i="8" s="1"/>
  <c r="G439" i="8"/>
  <c r="G440" i="8"/>
  <c r="G441" i="8"/>
  <c r="I441" i="8" s="1"/>
  <c r="G442" i="8"/>
  <c r="I442" i="8" s="1"/>
  <c r="G443" i="8"/>
  <c r="I443" i="8" s="1"/>
  <c r="G444" i="8"/>
  <c r="I444" i="8" s="1"/>
  <c r="G445" i="8"/>
  <c r="I445" i="8" s="1"/>
  <c r="G446" i="8"/>
  <c r="I446" i="8" s="1"/>
  <c r="G447" i="8"/>
  <c r="G448" i="8"/>
  <c r="G449" i="8"/>
  <c r="I449" i="8" s="1"/>
  <c r="G450" i="8"/>
  <c r="I450" i="8" s="1"/>
  <c r="G451" i="8"/>
  <c r="I451" i="8" s="1"/>
  <c r="G452" i="8"/>
  <c r="I452" i="8" s="1"/>
  <c r="G453" i="8"/>
  <c r="I453" i="8" s="1"/>
  <c r="G454" i="8"/>
  <c r="I454" i="8" s="1"/>
  <c r="G455" i="8"/>
  <c r="G456" i="8"/>
  <c r="G457" i="8"/>
  <c r="I457" i="8" s="1"/>
  <c r="G458" i="8"/>
  <c r="I458" i="8" s="1"/>
  <c r="G459" i="8"/>
  <c r="I459" i="8" s="1"/>
  <c r="G460" i="8"/>
  <c r="I460" i="8" s="1"/>
  <c r="G461" i="8"/>
  <c r="I461" i="8" s="1"/>
  <c r="G462" i="8"/>
  <c r="I462" i="8" s="1"/>
  <c r="G463" i="8"/>
  <c r="G464" i="8"/>
  <c r="G465" i="8"/>
  <c r="I465" i="8" s="1"/>
  <c r="G466" i="8"/>
  <c r="I466" i="8" s="1"/>
  <c r="G467" i="8"/>
  <c r="I467" i="8" s="1"/>
  <c r="G468" i="8"/>
  <c r="I468" i="8" s="1"/>
  <c r="G469" i="8"/>
  <c r="I469" i="8" s="1"/>
  <c r="G470" i="8"/>
  <c r="I470" i="8" s="1"/>
  <c r="G471" i="8"/>
  <c r="G472" i="8"/>
  <c r="G473" i="8"/>
  <c r="I473" i="8" s="1"/>
  <c r="G474" i="8"/>
  <c r="I474" i="8" s="1"/>
  <c r="G475" i="8"/>
  <c r="I475" i="8" s="1"/>
  <c r="G476" i="8"/>
  <c r="I476" i="8" s="1"/>
  <c r="G477" i="8"/>
  <c r="I477" i="8" s="1"/>
  <c r="G478" i="8"/>
  <c r="I478" i="8" s="1"/>
  <c r="G479" i="8"/>
  <c r="G480" i="8"/>
  <c r="G481" i="8"/>
  <c r="I481" i="8" s="1"/>
  <c r="G482" i="8"/>
  <c r="I482" i="8" s="1"/>
  <c r="G483" i="8"/>
  <c r="I483" i="8" s="1"/>
  <c r="G484" i="8"/>
  <c r="I484" i="8" s="1"/>
  <c r="G485" i="8"/>
  <c r="I485" i="8" s="1"/>
  <c r="G486" i="8"/>
  <c r="I486" i="8" s="1"/>
  <c r="G487" i="8"/>
  <c r="G488" i="8"/>
  <c r="G489" i="8"/>
  <c r="I489" i="8" s="1"/>
  <c r="G490" i="8"/>
  <c r="I490" i="8" s="1"/>
  <c r="G491" i="8"/>
  <c r="I491" i="8" s="1"/>
  <c r="G492" i="8"/>
  <c r="I492" i="8" s="1"/>
  <c r="G493" i="8"/>
  <c r="I493" i="8" s="1"/>
  <c r="G494" i="8"/>
  <c r="I494" i="8" s="1"/>
  <c r="G495" i="8"/>
  <c r="G496" i="8"/>
  <c r="G497" i="8"/>
  <c r="I497" i="8" s="1"/>
  <c r="G498" i="8"/>
  <c r="I498" i="8" s="1"/>
  <c r="G499" i="8"/>
  <c r="I499" i="8" s="1"/>
  <c r="G500" i="8"/>
  <c r="I500" i="8" s="1"/>
  <c r="G501" i="8"/>
  <c r="I501" i="8" s="1"/>
  <c r="G502" i="8"/>
  <c r="I502" i="8" s="1"/>
  <c r="G503" i="8"/>
  <c r="G504" i="8"/>
  <c r="G505" i="8"/>
  <c r="I505" i="8" s="1"/>
  <c r="G506" i="8"/>
  <c r="I506" i="8" s="1"/>
  <c r="G507" i="8"/>
  <c r="I507" i="8" s="1"/>
  <c r="G508" i="8"/>
  <c r="I508" i="8" s="1"/>
  <c r="G509" i="8"/>
  <c r="I509" i="8" s="1"/>
  <c r="G510" i="8"/>
  <c r="I510" i="8" s="1"/>
  <c r="G511" i="8"/>
  <c r="G512" i="8"/>
  <c r="G513" i="8"/>
  <c r="I513" i="8" s="1"/>
  <c r="G514" i="8"/>
  <c r="I514" i="8" s="1"/>
  <c r="G515" i="8"/>
  <c r="I515" i="8" s="1"/>
  <c r="G516" i="8"/>
  <c r="I516" i="8" s="1"/>
  <c r="G517" i="8"/>
  <c r="I517" i="8" s="1"/>
  <c r="G518" i="8"/>
  <c r="I518" i="8" s="1"/>
  <c r="G519" i="8"/>
  <c r="G520" i="8"/>
  <c r="G521" i="8"/>
  <c r="I521" i="8" s="1"/>
  <c r="G522" i="8"/>
  <c r="I522" i="8" s="1"/>
  <c r="G523" i="8"/>
  <c r="I523" i="8" s="1"/>
  <c r="G524" i="8"/>
  <c r="I524" i="8" s="1"/>
  <c r="G525" i="8"/>
  <c r="I525" i="8" s="1"/>
  <c r="G526" i="8"/>
  <c r="I526" i="8" s="1"/>
  <c r="G527" i="8"/>
  <c r="G528" i="8"/>
  <c r="G529" i="8"/>
  <c r="I529" i="8" s="1"/>
  <c r="G530" i="8"/>
  <c r="I530" i="8" s="1"/>
  <c r="G531" i="8"/>
  <c r="I531" i="8" s="1"/>
  <c r="G532" i="8"/>
  <c r="I532" i="8" s="1"/>
  <c r="G533" i="8"/>
  <c r="I533" i="8" s="1"/>
  <c r="G534" i="8"/>
  <c r="I534" i="8" s="1"/>
  <c r="G535" i="8"/>
  <c r="G536" i="8"/>
  <c r="G537" i="8"/>
  <c r="I537" i="8" s="1"/>
  <c r="G538" i="8"/>
  <c r="I538" i="8" s="1"/>
  <c r="G539" i="8"/>
  <c r="I539" i="8" s="1"/>
  <c r="G540" i="8"/>
  <c r="I540" i="8" s="1"/>
  <c r="G541" i="8"/>
  <c r="I541" i="8" s="1"/>
  <c r="G542" i="8"/>
  <c r="I542" i="8" s="1"/>
  <c r="G543" i="8"/>
  <c r="G544" i="8"/>
  <c r="G545" i="8"/>
  <c r="I545" i="8" s="1"/>
  <c r="G546" i="8"/>
  <c r="I546" i="8" s="1"/>
  <c r="G547" i="8"/>
  <c r="I547" i="8" s="1"/>
  <c r="G548" i="8"/>
  <c r="I548" i="8" s="1"/>
  <c r="G549" i="8"/>
  <c r="I549" i="8" s="1"/>
  <c r="G550" i="8"/>
  <c r="I550" i="8" s="1"/>
  <c r="G551" i="8"/>
  <c r="G552" i="8"/>
  <c r="G553" i="8"/>
  <c r="I553" i="8" s="1"/>
  <c r="G554" i="8"/>
  <c r="I554" i="8" s="1"/>
  <c r="G555" i="8"/>
  <c r="I555" i="8" s="1"/>
  <c r="G556" i="8"/>
  <c r="I556" i="8" s="1"/>
  <c r="G557" i="8"/>
  <c r="I557" i="8" s="1"/>
  <c r="G558" i="8"/>
  <c r="I558" i="8" s="1"/>
  <c r="G559" i="8"/>
  <c r="G560" i="8"/>
  <c r="G561" i="8"/>
  <c r="I561" i="8" s="1"/>
  <c r="G562" i="8"/>
  <c r="I562" i="8" s="1"/>
  <c r="G563" i="8"/>
  <c r="I563" i="8" s="1"/>
  <c r="G564" i="8"/>
  <c r="I564" i="8" s="1"/>
  <c r="G565" i="8"/>
  <c r="I565" i="8" s="1"/>
  <c r="G566" i="8"/>
  <c r="I566" i="8" s="1"/>
  <c r="G567" i="8"/>
  <c r="G568" i="8"/>
  <c r="G569" i="8"/>
  <c r="I569" i="8" s="1"/>
  <c r="G570" i="8"/>
  <c r="I570" i="8" s="1"/>
  <c r="G571" i="8"/>
  <c r="I571" i="8" s="1"/>
  <c r="G572" i="8"/>
  <c r="I572" i="8" s="1"/>
  <c r="G573" i="8"/>
  <c r="I573" i="8" s="1"/>
  <c r="G574" i="8"/>
  <c r="I574" i="8" s="1"/>
  <c r="G575" i="8"/>
  <c r="G576" i="8"/>
  <c r="G577" i="8"/>
  <c r="I577" i="8" s="1"/>
  <c r="G578" i="8"/>
  <c r="I578" i="8" s="1"/>
  <c r="G579" i="8"/>
  <c r="I579" i="8" s="1"/>
  <c r="G580" i="8"/>
  <c r="I580" i="8" s="1"/>
  <c r="G581" i="8"/>
  <c r="I581" i="8" s="1"/>
  <c r="G582" i="8"/>
  <c r="I582" i="8" s="1"/>
  <c r="G583" i="8"/>
  <c r="G584" i="8"/>
  <c r="G585" i="8"/>
  <c r="I585" i="8" s="1"/>
  <c r="G586" i="8"/>
  <c r="I586" i="8" s="1"/>
  <c r="G587" i="8"/>
  <c r="I587" i="8" s="1"/>
  <c r="G588" i="8"/>
  <c r="I588" i="8" s="1"/>
  <c r="G589" i="8"/>
  <c r="I589" i="8" s="1"/>
  <c r="G590" i="8"/>
  <c r="I590" i="8" s="1"/>
  <c r="G591" i="8"/>
  <c r="G592" i="8"/>
  <c r="G593" i="8"/>
  <c r="I593" i="8" s="1"/>
  <c r="G594" i="8"/>
  <c r="I594" i="8" s="1"/>
  <c r="G595" i="8"/>
  <c r="I595" i="8" s="1"/>
  <c r="G596" i="8"/>
  <c r="I596" i="8" s="1"/>
  <c r="G597" i="8"/>
  <c r="I597" i="8" s="1"/>
  <c r="G598" i="8"/>
  <c r="I598" i="8" s="1"/>
  <c r="G599" i="8"/>
  <c r="G600" i="8"/>
  <c r="G601" i="8"/>
  <c r="I601" i="8" s="1"/>
  <c r="G602" i="8"/>
  <c r="I602" i="8" s="1"/>
  <c r="G603" i="8"/>
  <c r="I603" i="8" s="1"/>
  <c r="G604" i="8"/>
  <c r="I604" i="8" s="1"/>
  <c r="G605" i="8"/>
  <c r="I605" i="8" s="1"/>
  <c r="G606" i="8"/>
  <c r="I606" i="8" s="1"/>
  <c r="G607" i="8"/>
  <c r="G608" i="8"/>
  <c r="G609" i="8"/>
  <c r="I609" i="8" s="1"/>
  <c r="G610" i="8"/>
  <c r="I610" i="8" s="1"/>
  <c r="G611" i="8"/>
  <c r="I611" i="8" s="1"/>
  <c r="G612" i="8"/>
  <c r="I612" i="8" s="1"/>
  <c r="G613" i="8"/>
  <c r="I613" i="8" s="1"/>
  <c r="G614" i="8"/>
  <c r="I614" i="8" s="1"/>
  <c r="G615" i="8"/>
  <c r="G616" i="8"/>
  <c r="G617" i="8"/>
  <c r="I617" i="8" s="1"/>
  <c r="G618" i="8"/>
  <c r="I618" i="8" s="1"/>
  <c r="G619" i="8"/>
  <c r="I619" i="8" s="1"/>
  <c r="G620" i="8"/>
  <c r="I620" i="8" s="1"/>
  <c r="G621" i="8"/>
  <c r="I621" i="8" s="1"/>
  <c r="G622" i="8"/>
  <c r="I622" i="8" s="1"/>
  <c r="G623" i="8"/>
  <c r="G624" i="8"/>
  <c r="G625" i="8"/>
  <c r="I625" i="8" s="1"/>
  <c r="G626" i="8"/>
  <c r="I626" i="8" s="1"/>
  <c r="G627" i="8"/>
  <c r="I627" i="8" s="1"/>
  <c r="G628" i="8"/>
  <c r="I628" i="8" s="1"/>
  <c r="G629" i="8"/>
  <c r="I629" i="8" s="1"/>
  <c r="G630" i="8"/>
  <c r="I630" i="8" s="1"/>
  <c r="G631" i="8"/>
  <c r="G2" i="8"/>
  <c r="L1" i="4"/>
  <c r="F22" i="4"/>
  <c r="F19" i="4" s="1"/>
  <c r="A40" i="4"/>
  <c r="A36" i="4"/>
  <c r="A5" i="4"/>
  <c r="A6" i="4"/>
  <c r="A7" i="4"/>
  <c r="A8" i="4"/>
  <c r="A9" i="4"/>
  <c r="A10" i="4"/>
  <c r="A11" i="4"/>
  <c r="A4" i="4"/>
  <c r="A19" i="4"/>
  <c r="A43" i="4"/>
  <c r="C4" i="4"/>
  <c r="C12" i="4"/>
  <c r="A17" i="4"/>
  <c r="A12" i="4"/>
  <c r="C5" i="4"/>
  <c r="C6" i="4"/>
  <c r="C7" i="4"/>
  <c r="C8" i="4"/>
  <c r="C9" i="4"/>
  <c r="C10" i="4"/>
  <c r="C11" i="4"/>
  <c r="F1" i="4"/>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2" i="8"/>
  <c r="L33" i="4"/>
  <c r="A33" i="4"/>
  <c r="A32" i="4"/>
  <c r="L4" i="4"/>
  <c r="F41" i="4"/>
  <c r="F42" i="4"/>
  <c r="F43" i="4"/>
  <c r="A41" i="4"/>
  <c r="L2" i="4"/>
  <c r="L40" i="4"/>
  <c r="L39" i="4"/>
  <c r="L3" i="4"/>
  <c r="A18" i="4"/>
  <c r="A3" i="4"/>
  <c r="F21" i="4"/>
  <c r="A23" i="4"/>
  <c r="A27" i="4"/>
  <c r="A29" i="4"/>
  <c r="F31" i="4"/>
  <c r="A2" i="4"/>
  <c r="A42" i="4"/>
  <c r="A39" i="4"/>
  <c r="A38" i="4"/>
  <c r="A28" i="4"/>
  <c r="A26" i="4"/>
  <c r="A25" i="4"/>
  <c r="A24" i="4"/>
  <c r="F39" i="4" l="1"/>
  <c r="F40" i="4" s="1"/>
  <c r="G4" i="4"/>
  <c r="J8" i="4"/>
  <c r="H5" i="4"/>
  <c r="G10" i="4"/>
  <c r="I8" i="4"/>
  <c r="H8" i="4"/>
  <c r="J6" i="4"/>
  <c r="G7" i="4"/>
  <c r="I5" i="4"/>
  <c r="H9" i="4"/>
  <c r="J7" i="4"/>
  <c r="G9" i="4"/>
  <c r="I7" i="4"/>
  <c r="G8" i="4"/>
  <c r="H7" i="4"/>
  <c r="I6" i="4"/>
  <c r="J5" i="4"/>
  <c r="H6" i="4"/>
  <c r="G5" i="4"/>
  <c r="I11" i="4"/>
  <c r="J10" i="4"/>
  <c r="G6" i="4"/>
  <c r="J11" i="4"/>
  <c r="H11" i="4"/>
  <c r="I10" i="4"/>
  <c r="J9" i="4"/>
  <c r="G11" i="4"/>
  <c r="H10" i="4"/>
  <c r="I9" i="4"/>
  <c r="H4" i="4"/>
  <c r="I4" i="4"/>
  <c r="J4" i="4"/>
  <c r="F15" i="4"/>
  <c r="F16" i="4"/>
  <c r="F14" i="4"/>
  <c r="D22" i="4" l="1"/>
  <c r="D29" i="4" s="1"/>
  <c r="C23" i="4"/>
  <c r="C28" i="4"/>
  <c r="C27" i="4"/>
  <c r="C29" i="4"/>
  <c r="C22" i="4"/>
  <c r="C25" i="4"/>
  <c r="C24" i="4"/>
  <c r="C26" i="4"/>
  <c r="E22" i="4" l="1"/>
  <c r="E29" i="4" s="1"/>
  <c r="K29" i="4" s="1"/>
  <c r="D28" i="4"/>
  <c r="D26" i="4"/>
  <c r="D27" i="4"/>
  <c r="D23" i="4"/>
  <c r="D24" i="4"/>
  <c r="D25" i="4"/>
  <c r="E24" i="4" l="1"/>
  <c r="K24" i="4" s="1"/>
  <c r="E26" i="4"/>
  <c r="K26" i="4" s="1"/>
  <c r="E28" i="4"/>
  <c r="K28" i="4" s="1"/>
  <c r="E25" i="4"/>
  <c r="K25" i="4" s="1"/>
  <c r="E27" i="4"/>
  <c r="K27" i="4" s="1"/>
  <c r="E23" i="4"/>
  <c r="F32" i="4" l="1"/>
  <c r="K23" i="4"/>
  <c r="K22" i="4" l="1"/>
  <c r="F34" i="4"/>
  <c r="K34" i="4" s="1"/>
  <c r="H32" i="4"/>
  <c r="H33" i="4" s="1"/>
  <c r="F36" i="4" s="1"/>
  <c r="I32" i="4"/>
  <c r="I33" i="4" s="1"/>
  <c r="L34" i="4" l="1"/>
  <c r="A34" i="4"/>
  <c r="F33" i="4" l="1"/>
</calcChain>
</file>

<file path=xl/sharedStrings.xml><?xml version="1.0" encoding="utf-8"?>
<sst xmlns="http://schemas.openxmlformats.org/spreadsheetml/2006/main" count="1940" uniqueCount="1763">
  <si>
    <t>cd_sector</t>
  </si>
  <si>
    <t>total_huisH</t>
  </si>
  <si>
    <t>total_wagens</t>
  </si>
  <si>
    <t>21001A00-</t>
  </si>
  <si>
    <t>21001A011</t>
  </si>
  <si>
    <t>21001A02-</t>
  </si>
  <si>
    <t>21001A031</t>
  </si>
  <si>
    <t>21001A041</t>
  </si>
  <si>
    <t>21001A051</t>
  </si>
  <si>
    <t>21001A07-</t>
  </si>
  <si>
    <t>21001A10-</t>
  </si>
  <si>
    <t>21001A112</t>
  </si>
  <si>
    <t>21001A120</t>
  </si>
  <si>
    <t>21001A132</t>
  </si>
  <si>
    <t>21001A142</t>
  </si>
  <si>
    <t>21001A152</t>
  </si>
  <si>
    <t>21001A30-</t>
  </si>
  <si>
    <t>21001A31-</t>
  </si>
  <si>
    <t>21001A32-</t>
  </si>
  <si>
    <t>21001A332</t>
  </si>
  <si>
    <t>21001A34-</t>
  </si>
  <si>
    <t>21001A350</t>
  </si>
  <si>
    <t>21001A401</t>
  </si>
  <si>
    <t>21001A41-</t>
  </si>
  <si>
    <t>21001A42-</t>
  </si>
  <si>
    <t>21001A43-</t>
  </si>
  <si>
    <t>21001A441</t>
  </si>
  <si>
    <t>21001A451</t>
  </si>
  <si>
    <t>21001A472</t>
  </si>
  <si>
    <t>21001A503</t>
  </si>
  <si>
    <t>21001A51-</t>
  </si>
  <si>
    <t>21001A52-</t>
  </si>
  <si>
    <t>21001A53-</t>
  </si>
  <si>
    <t>21001A552</t>
  </si>
  <si>
    <t>21001A712</t>
  </si>
  <si>
    <t>21001A72-</t>
  </si>
  <si>
    <t>21001A732</t>
  </si>
  <si>
    <t>21001A74-</t>
  </si>
  <si>
    <t>21001A80-</t>
  </si>
  <si>
    <t>21001A81-</t>
  </si>
  <si>
    <t>21001A82-</t>
  </si>
  <si>
    <t>21001A83-</t>
  </si>
  <si>
    <t>21001A84-</t>
  </si>
  <si>
    <t>21001A85-</t>
  </si>
  <si>
    <t>21001A90-</t>
  </si>
  <si>
    <t>21001A911</t>
  </si>
  <si>
    <t>21001A92-</t>
  </si>
  <si>
    <t>21001A931</t>
  </si>
  <si>
    <t>21001A941</t>
  </si>
  <si>
    <t>21001A95-</t>
  </si>
  <si>
    <t>21001B10-</t>
  </si>
  <si>
    <t>21001B11-</t>
  </si>
  <si>
    <t>21001B17-</t>
  </si>
  <si>
    <t>21001B20-</t>
  </si>
  <si>
    <t>21001B21-</t>
  </si>
  <si>
    <t>21001B22-</t>
  </si>
  <si>
    <t>21001B23-</t>
  </si>
  <si>
    <t>21001B241</t>
  </si>
  <si>
    <t>21001B25-</t>
  </si>
  <si>
    <t>21001B31-</t>
  </si>
  <si>
    <t>21001B321</t>
  </si>
  <si>
    <t>21001B332</t>
  </si>
  <si>
    <t>21001B372</t>
  </si>
  <si>
    <t>21001B3MJ</t>
  </si>
  <si>
    <t>21001C512</t>
  </si>
  <si>
    <t>21001C522</t>
  </si>
  <si>
    <t>21001C5PA</t>
  </si>
  <si>
    <t>21001C611</t>
  </si>
  <si>
    <t>21001C6PB</t>
  </si>
  <si>
    <t>21001C70-</t>
  </si>
  <si>
    <t>21001C71-</t>
  </si>
  <si>
    <t>21002A00-</t>
  </si>
  <si>
    <t>21002A01-</t>
  </si>
  <si>
    <t>21002A02-</t>
  </si>
  <si>
    <t>21002A030</t>
  </si>
  <si>
    <t>21002A041</t>
  </si>
  <si>
    <t>21002A10-</t>
  </si>
  <si>
    <t>21002A11-</t>
  </si>
  <si>
    <t>21002A12-</t>
  </si>
  <si>
    <t>21002A130</t>
  </si>
  <si>
    <t>21002A14-</t>
  </si>
  <si>
    <t>21002A15-</t>
  </si>
  <si>
    <t>21002A20-</t>
  </si>
  <si>
    <t>21002A21-</t>
  </si>
  <si>
    <t>21002A22-</t>
  </si>
  <si>
    <t>21002A23-</t>
  </si>
  <si>
    <t>21002A24-</t>
  </si>
  <si>
    <t>21002A25-</t>
  </si>
  <si>
    <t>21002A30-</t>
  </si>
  <si>
    <t>21002A311</t>
  </si>
  <si>
    <t>21002A372</t>
  </si>
  <si>
    <t>21002A411</t>
  </si>
  <si>
    <t>21002A43-</t>
  </si>
  <si>
    <t>21002A441</t>
  </si>
  <si>
    <t>21002A45-</t>
  </si>
  <si>
    <t>21002A511</t>
  </si>
  <si>
    <t>21002A52-</t>
  </si>
  <si>
    <t>21002A53-</t>
  </si>
  <si>
    <t>21003A00-</t>
  </si>
  <si>
    <t>21003A011</t>
  </si>
  <si>
    <t>21003A02-</t>
  </si>
  <si>
    <t>21003A03-</t>
  </si>
  <si>
    <t>21003A04-</t>
  </si>
  <si>
    <t>21003A05-</t>
  </si>
  <si>
    <t>21003A0AJ</t>
  </si>
  <si>
    <t>21003A10-</t>
  </si>
  <si>
    <t>21003A11-</t>
  </si>
  <si>
    <t>21003A212</t>
  </si>
  <si>
    <t>21003A283</t>
  </si>
  <si>
    <t>21003A2MJ</t>
  </si>
  <si>
    <t>21003A312</t>
  </si>
  <si>
    <t>21003A323</t>
  </si>
  <si>
    <t>21003A331</t>
  </si>
  <si>
    <t>21003A342</t>
  </si>
  <si>
    <t>21003A41-</t>
  </si>
  <si>
    <t>21004A001</t>
  </si>
  <si>
    <t>21004A002</t>
  </si>
  <si>
    <t>21004A01-</t>
  </si>
  <si>
    <t>21004A02-</t>
  </si>
  <si>
    <t>21004A03-</t>
  </si>
  <si>
    <t>21004A04-</t>
  </si>
  <si>
    <t>21004A12-</t>
  </si>
  <si>
    <t>21004A13-</t>
  </si>
  <si>
    <t>21004A14-</t>
  </si>
  <si>
    <t>21004A15-</t>
  </si>
  <si>
    <t>21004A16-</t>
  </si>
  <si>
    <t>21004A20-</t>
  </si>
  <si>
    <t>21004A21-</t>
  </si>
  <si>
    <t>21004A22-</t>
  </si>
  <si>
    <t>21004A23-</t>
  </si>
  <si>
    <t>21004A24-</t>
  </si>
  <si>
    <t>21004A25-</t>
  </si>
  <si>
    <t>21004A32-</t>
  </si>
  <si>
    <t>21004A33-</t>
  </si>
  <si>
    <t>21004A34-</t>
  </si>
  <si>
    <t>21004A35-</t>
  </si>
  <si>
    <t>21004A3MJ</t>
  </si>
  <si>
    <t>21004A70-</t>
  </si>
  <si>
    <t>21004A71-</t>
  </si>
  <si>
    <t>21004A72-</t>
  </si>
  <si>
    <t>21004A811</t>
  </si>
  <si>
    <t>21004A822</t>
  </si>
  <si>
    <t>21004A83-</t>
  </si>
  <si>
    <t>21004B10-</t>
  </si>
  <si>
    <t>21004B13-</t>
  </si>
  <si>
    <t>21004B293</t>
  </si>
  <si>
    <t>21004B2MJ</t>
  </si>
  <si>
    <t>21004B2NJ</t>
  </si>
  <si>
    <t>21004B2WJ</t>
  </si>
  <si>
    <t>21004B411</t>
  </si>
  <si>
    <t>21004B421</t>
  </si>
  <si>
    <t>21004B43-</t>
  </si>
  <si>
    <t>21004B44-</t>
  </si>
  <si>
    <t>21004B45-</t>
  </si>
  <si>
    <t>21004C501</t>
  </si>
  <si>
    <t>21004C51-</t>
  </si>
  <si>
    <t>21004C52-</t>
  </si>
  <si>
    <t>21004C53-</t>
  </si>
  <si>
    <t>21004C54-</t>
  </si>
  <si>
    <t>21004C552</t>
  </si>
  <si>
    <t>21004C61-</t>
  </si>
  <si>
    <t>21004C62-</t>
  </si>
  <si>
    <t>21004C63-</t>
  </si>
  <si>
    <t>21004C642</t>
  </si>
  <si>
    <t>21004C65-</t>
  </si>
  <si>
    <t>21004D600</t>
  </si>
  <si>
    <t>21004D610</t>
  </si>
  <si>
    <t>21004D62-</t>
  </si>
  <si>
    <t>21004D631</t>
  </si>
  <si>
    <t>21004D64-</t>
  </si>
  <si>
    <t>21004D672</t>
  </si>
  <si>
    <t>21004D6NJ</t>
  </si>
  <si>
    <t>21004E101</t>
  </si>
  <si>
    <t>21004E112</t>
  </si>
  <si>
    <t>21004E12-</t>
  </si>
  <si>
    <t>21004E130</t>
  </si>
  <si>
    <t>21004E14-</t>
  </si>
  <si>
    <t>21004E201</t>
  </si>
  <si>
    <t>21004E211</t>
  </si>
  <si>
    <t>21004E222</t>
  </si>
  <si>
    <t>21004E233</t>
  </si>
  <si>
    <t>21004E70-</t>
  </si>
  <si>
    <t>21004E72-</t>
  </si>
  <si>
    <t>21004E73-</t>
  </si>
  <si>
    <t>21004E74-</t>
  </si>
  <si>
    <t>21004E800</t>
  </si>
  <si>
    <t>21004E81-</t>
  </si>
  <si>
    <t>21004E82-</t>
  </si>
  <si>
    <t>21004E83-</t>
  </si>
  <si>
    <t>21004F511</t>
  </si>
  <si>
    <t>21004F522</t>
  </si>
  <si>
    <t>21004F531</t>
  </si>
  <si>
    <t>21004F901</t>
  </si>
  <si>
    <t>21004F91-</t>
  </si>
  <si>
    <t>21004F922</t>
  </si>
  <si>
    <t>21004F930</t>
  </si>
  <si>
    <t>21004F94-</t>
  </si>
  <si>
    <t>21004F953</t>
  </si>
  <si>
    <t>21004F9MJ</t>
  </si>
  <si>
    <t>21004G30-</t>
  </si>
  <si>
    <t>21004G310</t>
  </si>
  <si>
    <t>21004G321</t>
  </si>
  <si>
    <t>21004G3MJ</t>
  </si>
  <si>
    <t>21004G3NJ</t>
  </si>
  <si>
    <t>21012A00-</t>
  </si>
  <si>
    <t>21012A011</t>
  </si>
  <si>
    <t>21012A02-</t>
  </si>
  <si>
    <t>21012A03-</t>
  </si>
  <si>
    <t>21012A041</t>
  </si>
  <si>
    <t>21012A05-</t>
  </si>
  <si>
    <t>21012A10-</t>
  </si>
  <si>
    <t>21012A11-</t>
  </si>
  <si>
    <t>21012A12-</t>
  </si>
  <si>
    <t>21012A13-</t>
  </si>
  <si>
    <t>21012A141</t>
  </si>
  <si>
    <t>21012A152</t>
  </si>
  <si>
    <t>21012A172</t>
  </si>
  <si>
    <t>21012A20-</t>
  </si>
  <si>
    <t>21012A21-</t>
  </si>
  <si>
    <t>21012A22-</t>
  </si>
  <si>
    <t>21012A23-</t>
  </si>
  <si>
    <t>21012A24-</t>
  </si>
  <si>
    <t>21012A25-</t>
  </si>
  <si>
    <t>21012A26-</t>
  </si>
  <si>
    <t>21012A30-</t>
  </si>
  <si>
    <t>21012A41-</t>
  </si>
  <si>
    <t>21012A50-</t>
  </si>
  <si>
    <t>21012A511</t>
  </si>
  <si>
    <t>21012A52-</t>
  </si>
  <si>
    <t>21012A53-</t>
  </si>
  <si>
    <t>21012A54-</t>
  </si>
  <si>
    <t>21012A552</t>
  </si>
  <si>
    <t>21012A60-</t>
  </si>
  <si>
    <t>21012A611</t>
  </si>
  <si>
    <t>21012A62-</t>
  </si>
  <si>
    <t>21012A63-</t>
  </si>
  <si>
    <t>21012A672</t>
  </si>
  <si>
    <t>21012A71-</t>
  </si>
  <si>
    <t>21012A72-</t>
  </si>
  <si>
    <t>21012A732</t>
  </si>
  <si>
    <t>21012A811</t>
  </si>
  <si>
    <t>21012A822</t>
  </si>
  <si>
    <t>21012A833</t>
  </si>
  <si>
    <t>21012A84-</t>
  </si>
  <si>
    <t>21012A851</t>
  </si>
  <si>
    <t>21012A882</t>
  </si>
  <si>
    <t>21014A00-</t>
  </si>
  <si>
    <t>21014A01-</t>
  </si>
  <si>
    <t>21014A02-</t>
  </si>
  <si>
    <t>21014A03-</t>
  </si>
  <si>
    <t>21014A04-</t>
  </si>
  <si>
    <t>21014A05-</t>
  </si>
  <si>
    <t>21014A10-</t>
  </si>
  <si>
    <t>21014A12-</t>
  </si>
  <si>
    <t>21014A14-</t>
  </si>
  <si>
    <t>21014A3MJ</t>
  </si>
  <si>
    <t>21014A41-</t>
  </si>
  <si>
    <t>21016A00-</t>
  </si>
  <si>
    <t>21016A01-</t>
  </si>
  <si>
    <t>21016A02-</t>
  </si>
  <si>
    <t>21016A03-</t>
  </si>
  <si>
    <t>21016A042</t>
  </si>
  <si>
    <t>21016A05-</t>
  </si>
  <si>
    <t>21016A102</t>
  </si>
  <si>
    <t>21016A111</t>
  </si>
  <si>
    <t>21016A12-</t>
  </si>
  <si>
    <t>21016A214</t>
  </si>
  <si>
    <t>21016A225</t>
  </si>
  <si>
    <t>21016A232</t>
  </si>
  <si>
    <t>21016A311</t>
  </si>
  <si>
    <t>21016A322</t>
  </si>
  <si>
    <t>21016A331</t>
  </si>
  <si>
    <t>21016A342</t>
  </si>
  <si>
    <t>21016A400</t>
  </si>
  <si>
    <t>21016A410</t>
  </si>
  <si>
    <t>21016A429</t>
  </si>
  <si>
    <t>21016A44-</t>
  </si>
  <si>
    <t>21016A490</t>
  </si>
  <si>
    <t>21016A521</t>
  </si>
  <si>
    <t>21016A533</t>
  </si>
  <si>
    <t>21016A601</t>
  </si>
  <si>
    <t>21016A610</t>
  </si>
  <si>
    <t>21016A620</t>
  </si>
  <si>
    <t>21016A639</t>
  </si>
  <si>
    <t>21016A64-</t>
  </si>
  <si>
    <t>21016A65-</t>
  </si>
  <si>
    <t>21016A701</t>
  </si>
  <si>
    <t>21016A71-</t>
  </si>
  <si>
    <t>21016A72-</t>
  </si>
  <si>
    <t>21016A731</t>
  </si>
  <si>
    <t>21016A772</t>
  </si>
  <si>
    <t>21016A80-</t>
  </si>
  <si>
    <t>21016A81-</t>
  </si>
  <si>
    <t>21016A82-</t>
  </si>
  <si>
    <t>21016A831</t>
  </si>
  <si>
    <t>21016A841</t>
  </si>
  <si>
    <t>21016A85-</t>
  </si>
  <si>
    <t>21016A901</t>
  </si>
  <si>
    <t>21016A912</t>
  </si>
  <si>
    <t>21016A922</t>
  </si>
  <si>
    <t>21016A933</t>
  </si>
  <si>
    <t>21016A943</t>
  </si>
  <si>
    <t>21016A954</t>
  </si>
  <si>
    <t>21017A000</t>
  </si>
  <si>
    <t>21017A01-</t>
  </si>
  <si>
    <t>21017A021</t>
  </si>
  <si>
    <t>21017A041</t>
  </si>
  <si>
    <t>21017A11-</t>
  </si>
  <si>
    <t>21017A12-</t>
  </si>
  <si>
    <t>21017A13-</t>
  </si>
  <si>
    <t>21017A212</t>
  </si>
  <si>
    <t>21017A220</t>
  </si>
  <si>
    <t>21017A230</t>
  </si>
  <si>
    <t>21017A240</t>
  </si>
  <si>
    <t>21017A41-</t>
  </si>
  <si>
    <t>21017A432</t>
  </si>
  <si>
    <t>21017A443</t>
  </si>
  <si>
    <t>21017A451</t>
  </si>
  <si>
    <t>21017A501</t>
  </si>
  <si>
    <t>21017A512</t>
  </si>
  <si>
    <t>21017A523</t>
  </si>
  <si>
    <t>21017A534</t>
  </si>
  <si>
    <t>21017A541</t>
  </si>
  <si>
    <t>21017A624</t>
  </si>
  <si>
    <t>21017A635</t>
  </si>
  <si>
    <t>21011A00-</t>
  </si>
  <si>
    <t>21011A01-</t>
  </si>
  <si>
    <t>21011A02-</t>
  </si>
  <si>
    <t>21011A10-</t>
  </si>
  <si>
    <t>21011A11-</t>
  </si>
  <si>
    <t>21011A12-</t>
  </si>
  <si>
    <t>21011A20-</t>
  </si>
  <si>
    <t>21011A30-</t>
  </si>
  <si>
    <t>21008A00-</t>
  </si>
  <si>
    <t>21008A01-</t>
  </si>
  <si>
    <t>21008A02-</t>
  </si>
  <si>
    <t>21008A10-</t>
  </si>
  <si>
    <t>21008A20-</t>
  </si>
  <si>
    <t>21008A21-</t>
  </si>
  <si>
    <t>21008A220</t>
  </si>
  <si>
    <t>21008A23-</t>
  </si>
  <si>
    <t>21008A240</t>
  </si>
  <si>
    <t>21008A30-</t>
  </si>
  <si>
    <t>21008A31-</t>
  </si>
  <si>
    <t>21008A32-</t>
  </si>
  <si>
    <t>21008A33-</t>
  </si>
  <si>
    <t>21008A34-</t>
  </si>
  <si>
    <t>21008A35-</t>
  </si>
  <si>
    <t>21013A00-</t>
  </si>
  <si>
    <t>21013A01-</t>
  </si>
  <si>
    <t>21013A02-</t>
  </si>
  <si>
    <t>21013A031</t>
  </si>
  <si>
    <t>21013A04-</t>
  </si>
  <si>
    <t>21013A052</t>
  </si>
  <si>
    <t>21013A101</t>
  </si>
  <si>
    <t>21013A102</t>
  </si>
  <si>
    <t>21013A11-</t>
  </si>
  <si>
    <t>21013A121</t>
  </si>
  <si>
    <t>21013A13-</t>
  </si>
  <si>
    <t>21013A151</t>
  </si>
  <si>
    <t>21013A201</t>
  </si>
  <si>
    <t>21013A211</t>
  </si>
  <si>
    <t>21013A22-</t>
  </si>
  <si>
    <t>21013A23-</t>
  </si>
  <si>
    <t>21013A242</t>
  </si>
  <si>
    <t>21013A252</t>
  </si>
  <si>
    <t>21013A40-</t>
  </si>
  <si>
    <t>21013A41-</t>
  </si>
  <si>
    <t>21013A422</t>
  </si>
  <si>
    <t>21013A51-</t>
  </si>
  <si>
    <t>21013A522</t>
  </si>
  <si>
    <t>21013A612</t>
  </si>
  <si>
    <t>21009A00-</t>
  </si>
  <si>
    <t>21009A01-</t>
  </si>
  <si>
    <t>21009A02-</t>
  </si>
  <si>
    <t>21009A03-</t>
  </si>
  <si>
    <t>21009A041</t>
  </si>
  <si>
    <t>21009A051</t>
  </si>
  <si>
    <t>21009A101</t>
  </si>
  <si>
    <t>21009A111</t>
  </si>
  <si>
    <t>21009A121</t>
  </si>
  <si>
    <t>21009A13-</t>
  </si>
  <si>
    <t>21009A151</t>
  </si>
  <si>
    <t>21009A20-</t>
  </si>
  <si>
    <t>21009A21-</t>
  </si>
  <si>
    <t>21009A22-</t>
  </si>
  <si>
    <t>21009A23-</t>
  </si>
  <si>
    <t>21009A2MJ</t>
  </si>
  <si>
    <t>21009A301</t>
  </si>
  <si>
    <t>21009A311</t>
  </si>
  <si>
    <t>21009A33-</t>
  </si>
  <si>
    <t>21009A34-</t>
  </si>
  <si>
    <t>21009A40-</t>
  </si>
  <si>
    <t>21009A41-</t>
  </si>
  <si>
    <t>21009A42-</t>
  </si>
  <si>
    <t>21009A43-</t>
  </si>
  <si>
    <t>21009A44-</t>
  </si>
  <si>
    <t>21009A451</t>
  </si>
  <si>
    <t>21009A501</t>
  </si>
  <si>
    <t>21009A512</t>
  </si>
  <si>
    <t>21009A52-</t>
  </si>
  <si>
    <t>21009A53-</t>
  </si>
  <si>
    <t>21009A542</t>
  </si>
  <si>
    <t>21009A552</t>
  </si>
  <si>
    <t>21009A602</t>
  </si>
  <si>
    <t>21009A612</t>
  </si>
  <si>
    <t>21009A623</t>
  </si>
  <si>
    <t>21009A63-</t>
  </si>
  <si>
    <t>21009A652</t>
  </si>
  <si>
    <t>21009A712</t>
  </si>
  <si>
    <t>21009A72-</t>
  </si>
  <si>
    <t>21009A73-</t>
  </si>
  <si>
    <t>21009A802</t>
  </si>
  <si>
    <t>21009A812</t>
  </si>
  <si>
    <t>21009A82-</t>
  </si>
  <si>
    <t>21009A83-</t>
  </si>
  <si>
    <t>21009A90-</t>
  </si>
  <si>
    <t>21009A911</t>
  </si>
  <si>
    <t>21009A922</t>
  </si>
  <si>
    <t>21007A00-</t>
  </si>
  <si>
    <t>21007A01-</t>
  </si>
  <si>
    <t>21007A02-</t>
  </si>
  <si>
    <t>21007A03-</t>
  </si>
  <si>
    <t>21007A04-</t>
  </si>
  <si>
    <t>21007A05-</t>
  </si>
  <si>
    <t>21007A06-</t>
  </si>
  <si>
    <t>21007A071</t>
  </si>
  <si>
    <t>21007A101</t>
  </si>
  <si>
    <t>21007A111</t>
  </si>
  <si>
    <t>21007A12-</t>
  </si>
  <si>
    <t>21007A142</t>
  </si>
  <si>
    <t>21007A201</t>
  </si>
  <si>
    <t>21007A21-</t>
  </si>
  <si>
    <t>21007A239</t>
  </si>
  <si>
    <t>21007A242</t>
  </si>
  <si>
    <t>21007A252</t>
  </si>
  <si>
    <t>21007A40-</t>
  </si>
  <si>
    <t>21007A41-</t>
  </si>
  <si>
    <t>21007A50-</t>
  </si>
  <si>
    <t>21007A51-</t>
  </si>
  <si>
    <t>21007A52-</t>
  </si>
  <si>
    <t>21007A53-</t>
  </si>
  <si>
    <t>21007A541</t>
  </si>
  <si>
    <t>21007A552</t>
  </si>
  <si>
    <t>21007A60-</t>
  </si>
  <si>
    <t>21007A61-</t>
  </si>
  <si>
    <t>21007A70-</t>
  </si>
  <si>
    <t>21007A71-</t>
  </si>
  <si>
    <t>21007A72-</t>
  </si>
  <si>
    <t>21007A73-</t>
  </si>
  <si>
    <t>21007A75-</t>
  </si>
  <si>
    <t>21007A783</t>
  </si>
  <si>
    <t>21007A814</t>
  </si>
  <si>
    <t>21006A001</t>
  </si>
  <si>
    <t>21006A011</t>
  </si>
  <si>
    <t>21006A02-</t>
  </si>
  <si>
    <t>21006A03-</t>
  </si>
  <si>
    <t>21006A042</t>
  </si>
  <si>
    <t>21006A052</t>
  </si>
  <si>
    <t>21006A094</t>
  </si>
  <si>
    <t>21006A101</t>
  </si>
  <si>
    <t>21006A11-</t>
  </si>
  <si>
    <t>21006A12-</t>
  </si>
  <si>
    <t>21006A13-</t>
  </si>
  <si>
    <t>21006A142</t>
  </si>
  <si>
    <t>21006A153</t>
  </si>
  <si>
    <t>21006A171</t>
  </si>
  <si>
    <t>21006A201</t>
  </si>
  <si>
    <t>21006A21-</t>
  </si>
  <si>
    <t>21006A22-</t>
  </si>
  <si>
    <t>21006A23-</t>
  </si>
  <si>
    <t>21006A24-</t>
  </si>
  <si>
    <t>21006A25-</t>
  </si>
  <si>
    <t>21006A272</t>
  </si>
  <si>
    <t>21006A312</t>
  </si>
  <si>
    <t>21006A323</t>
  </si>
  <si>
    <t>21006A403</t>
  </si>
  <si>
    <t>21006A414</t>
  </si>
  <si>
    <t>21006A474</t>
  </si>
  <si>
    <t>21006A515</t>
  </si>
  <si>
    <t>21005A00-</t>
  </si>
  <si>
    <t>21005A01-</t>
  </si>
  <si>
    <t>21005A02-</t>
  </si>
  <si>
    <t>21005A031</t>
  </si>
  <si>
    <t>21005A042</t>
  </si>
  <si>
    <t>21005A051</t>
  </si>
  <si>
    <t>21005A082</t>
  </si>
  <si>
    <t>21005A10-</t>
  </si>
  <si>
    <t>21005A11-</t>
  </si>
  <si>
    <t>21005A12-</t>
  </si>
  <si>
    <t>21005A13-</t>
  </si>
  <si>
    <t>21005A14-</t>
  </si>
  <si>
    <t>21005A15-</t>
  </si>
  <si>
    <t>21005A20-</t>
  </si>
  <si>
    <t>21005A21-</t>
  </si>
  <si>
    <t>21005A22-</t>
  </si>
  <si>
    <t>21005A311</t>
  </si>
  <si>
    <t>21005A322</t>
  </si>
  <si>
    <t>21005A33-</t>
  </si>
  <si>
    <t>21010A00-</t>
  </si>
  <si>
    <t>21010A01-</t>
  </si>
  <si>
    <t>21010A02-</t>
  </si>
  <si>
    <t>21010A03-</t>
  </si>
  <si>
    <t>21010A04-</t>
  </si>
  <si>
    <t>21010A05-</t>
  </si>
  <si>
    <t>21010A10-</t>
  </si>
  <si>
    <t>21010A111</t>
  </si>
  <si>
    <t>21010A121</t>
  </si>
  <si>
    <t>21010A13-</t>
  </si>
  <si>
    <t>21010A141</t>
  </si>
  <si>
    <t>21010A1AJ</t>
  </si>
  <si>
    <t>21010A21-</t>
  </si>
  <si>
    <t>21010A312</t>
  </si>
  <si>
    <t>21015A00-</t>
  </si>
  <si>
    <t>21015A01-</t>
  </si>
  <si>
    <t>21015A021</t>
  </si>
  <si>
    <t>21015A03-</t>
  </si>
  <si>
    <t>21015A04-</t>
  </si>
  <si>
    <t>21015A05-</t>
  </si>
  <si>
    <t>21015A101</t>
  </si>
  <si>
    <t>21015A111</t>
  </si>
  <si>
    <t>21015A12-</t>
  </si>
  <si>
    <t>21015A13-</t>
  </si>
  <si>
    <t>21015A142</t>
  </si>
  <si>
    <t>21015A152</t>
  </si>
  <si>
    <t>21015A20-</t>
  </si>
  <si>
    <t>21015A21-</t>
  </si>
  <si>
    <t>21015A22-</t>
  </si>
  <si>
    <t>21015A231</t>
  </si>
  <si>
    <t>21015A24-</t>
  </si>
  <si>
    <t>21015A272</t>
  </si>
  <si>
    <t>21015A30-</t>
  </si>
  <si>
    <t>21015A31-</t>
  </si>
  <si>
    <t>21015A32-</t>
  </si>
  <si>
    <t>21015A33-</t>
  </si>
  <si>
    <t>21015A34-</t>
  </si>
  <si>
    <t>21015A35-</t>
  </si>
  <si>
    <t>21015A36-</t>
  </si>
  <si>
    <t>21015A40-</t>
  </si>
  <si>
    <t>21015A41-</t>
  </si>
  <si>
    <t>21015A421</t>
  </si>
  <si>
    <t>21015A43-</t>
  </si>
  <si>
    <t>21015A44-</t>
  </si>
  <si>
    <t>21015A45-</t>
  </si>
  <si>
    <t>21015A50-</t>
  </si>
  <si>
    <t>21015A51-</t>
  </si>
  <si>
    <t>21015A52-</t>
  </si>
  <si>
    <t>21015A53-</t>
  </si>
  <si>
    <t>21015A54-</t>
  </si>
  <si>
    <t>21015A612</t>
  </si>
  <si>
    <t>21015A622</t>
  </si>
  <si>
    <t>21015A63-</t>
  </si>
  <si>
    <t>21015A64-</t>
  </si>
  <si>
    <t>21015A70-</t>
  </si>
  <si>
    <t>21015A71-</t>
  </si>
  <si>
    <t>21015A721</t>
  </si>
  <si>
    <t>21015A73-</t>
  </si>
  <si>
    <t>21015A77-</t>
  </si>
  <si>
    <t>21015A782</t>
  </si>
  <si>
    <t>21015A811</t>
  </si>
  <si>
    <t>21015A822</t>
  </si>
  <si>
    <t>21015A831</t>
  </si>
  <si>
    <t>21015A883</t>
  </si>
  <si>
    <t>21018A00-</t>
  </si>
  <si>
    <t>21018A01-</t>
  </si>
  <si>
    <t>21018A02-</t>
  </si>
  <si>
    <t>21018A031</t>
  </si>
  <si>
    <t>21018A04-</t>
  </si>
  <si>
    <t>21018A05-</t>
  </si>
  <si>
    <t>21018A09-</t>
  </si>
  <si>
    <t>21018A12-</t>
  </si>
  <si>
    <t>21018A13-</t>
  </si>
  <si>
    <t>21018A14-</t>
  </si>
  <si>
    <t>21018A15-</t>
  </si>
  <si>
    <t>21018A20-</t>
  </si>
  <si>
    <t>21018A21-</t>
  </si>
  <si>
    <t>21018A22-</t>
  </si>
  <si>
    <t>21018A24-</t>
  </si>
  <si>
    <t>21018A30-</t>
  </si>
  <si>
    <t>21018A311</t>
  </si>
  <si>
    <t>21018A32-</t>
  </si>
  <si>
    <t>21018A33-</t>
  </si>
  <si>
    <t>21018A34-</t>
  </si>
  <si>
    <t>21018A35-</t>
  </si>
  <si>
    <t>21018A37-</t>
  </si>
  <si>
    <t>21018A3MJ</t>
  </si>
  <si>
    <t>21018A41-</t>
  </si>
  <si>
    <t>21018A42-</t>
  </si>
  <si>
    <t>21018A43-</t>
  </si>
  <si>
    <t>21018A512</t>
  </si>
  <si>
    <t>21018A60-</t>
  </si>
  <si>
    <t>21018A61-</t>
  </si>
  <si>
    <t>21018A62-</t>
  </si>
  <si>
    <t>21018A63-</t>
  </si>
  <si>
    <t>21018A643</t>
  </si>
  <si>
    <t>21018A72-</t>
  </si>
  <si>
    <t>21018A81-</t>
  </si>
  <si>
    <t>21018A82-</t>
  </si>
  <si>
    <t>21018A83-</t>
  </si>
  <si>
    <t>21018A84-</t>
  </si>
  <si>
    <t>21018A87-</t>
  </si>
  <si>
    <t>21019A001</t>
  </si>
  <si>
    <t>21019A01-</t>
  </si>
  <si>
    <t>21019A02-</t>
  </si>
  <si>
    <t>21019A03-</t>
  </si>
  <si>
    <t>21019A04-</t>
  </si>
  <si>
    <t>21019A052</t>
  </si>
  <si>
    <t>21019A10-</t>
  </si>
  <si>
    <t>21019A11-</t>
  </si>
  <si>
    <t>21019A12-</t>
  </si>
  <si>
    <t>21019A131</t>
  </si>
  <si>
    <t>21019A14-</t>
  </si>
  <si>
    <t>21019A15-</t>
  </si>
  <si>
    <t>21019A20-</t>
  </si>
  <si>
    <t>21019A21-</t>
  </si>
  <si>
    <t>21019A22-</t>
  </si>
  <si>
    <t>21019A231</t>
  </si>
  <si>
    <t>21019A242</t>
  </si>
  <si>
    <t>21019A252</t>
  </si>
  <si>
    <t>21019A30-</t>
  </si>
  <si>
    <t>21019A31-</t>
  </si>
  <si>
    <t>21019A32-</t>
  </si>
  <si>
    <t>21019A33-</t>
  </si>
  <si>
    <t>21019A34-</t>
  </si>
  <si>
    <t>21019A35-</t>
  </si>
  <si>
    <t>21019A40-</t>
  </si>
  <si>
    <t>21019A41-</t>
  </si>
  <si>
    <t>21019A42-</t>
  </si>
  <si>
    <t>21019A43-</t>
  </si>
  <si>
    <t>21019A441</t>
  </si>
  <si>
    <t>21019A45-</t>
  </si>
  <si>
    <t>21019A51-</t>
  </si>
  <si>
    <t>21019A52-</t>
  </si>
  <si>
    <t>tp_moy_pjt_500k_pond</t>
  </si>
  <si>
    <t>txocc_0507_2023_hac</t>
  </si>
  <si>
    <t>t_dist</t>
  </si>
  <si>
    <t>t_target</t>
  </si>
  <si>
    <t>T_target</t>
  </si>
  <si>
    <t>T_Reg</t>
  </si>
  <si>
    <t>T_dist.</t>
  </si>
  <si>
    <t>T_acces</t>
  </si>
  <si>
    <t>Min</t>
  </si>
  <si>
    <t>Max</t>
  </si>
  <si>
    <t>t_acces_500</t>
  </si>
  <si>
    <t>Name_id</t>
  </si>
  <si>
    <t>VIVES_21001A503</t>
  </si>
  <si>
    <t>WIELEMANS CEUPPENS_21007A53-</t>
  </si>
  <si>
    <t>A. DELPORTE-NORD_21009A151</t>
  </si>
  <si>
    <t>A. DELPORTE-SUD_21009A911</t>
  </si>
  <si>
    <t>ABATTOIR_21001B17-</t>
  </si>
  <si>
    <t>ABELOOS_21018A031</t>
  </si>
  <si>
    <t>AD. MAX (BOULEVARD)_21004A35-</t>
  </si>
  <si>
    <t>AGRAFE-NORBERT GILLE_21001A931</t>
  </si>
  <si>
    <t>ALBERT (QUARTIER)_21010A05-</t>
  </si>
  <si>
    <t>ALBERT I- IMMEUBLES_21001B31-</t>
  </si>
  <si>
    <t>ALBERT I- QUARTIER_21001B321</t>
  </si>
  <si>
    <t>ALLEE VERTE_21003A331</t>
  </si>
  <si>
    <t>ALLEE VERTE - BASSIN VERGOTE_21004D631</t>
  </si>
  <si>
    <t>ALPHONSE XIII_21016A410</t>
  </si>
  <si>
    <t>ALSEMBERG-NORD_21016A02-</t>
  </si>
  <si>
    <t>ALSEMBERG-SUD_21016A65-</t>
  </si>
  <si>
    <t>ALTITUDE  CENT_21007A70-</t>
  </si>
  <si>
    <t>AMAZONE (RUE DE)_21013A031</t>
  </si>
  <si>
    <t>AMBIORIX-NORD (SQUARE)_21004B43-</t>
  </si>
  <si>
    <t>AMBIORIX-SUD (SQUARE)_21004B44-</t>
  </si>
  <si>
    <t>AMITIE (PLACE DE L')_21002A311</t>
  </si>
  <si>
    <t>ANCIEN COMBATTANTS (AVENUE)_21006A171</t>
  </si>
  <si>
    <t>ANCIENNE BARRIERE_21010A10-</t>
  </si>
  <si>
    <t>ANGLETERRE (RUE D')_21013A201</t>
  </si>
  <si>
    <t>ANNEESSENS (PLACE)_21004A21-</t>
  </si>
  <si>
    <t>ANVERS (CHAUSSEE D')-NORD_21004D62-</t>
  </si>
  <si>
    <t>ANVERS (CHAUSSEE D')-SUD_21004D610</t>
  </si>
  <si>
    <t>ARBORETUM_21001A401</t>
  </si>
  <si>
    <t>ARBRE BALLON_21010A1AJ</t>
  </si>
  <si>
    <t>ARBRE BENIT_21009A041</t>
  </si>
  <si>
    <t>ARCHERS - FOUREZ_21011A30-</t>
  </si>
  <si>
    <t>ARMEE (AVENUE DE L')_21005A14-</t>
  </si>
  <si>
    <t>ASTRONOMES_21016A214</t>
  </si>
  <si>
    <t>AUBADE_21001A85-</t>
  </si>
  <si>
    <t>AURORE_21001A32-</t>
  </si>
  <si>
    <t>AVENUE DE BROUCKERE_21002A24-</t>
  </si>
  <si>
    <t>AVENUE DE LA TENDERIE_21017A212</t>
  </si>
  <si>
    <t>AVENUE DE VERSAILLES_21004F522</t>
  </si>
  <si>
    <t>AVENUE DE VISE_21017A41-</t>
  </si>
  <si>
    <t>AVENUE DES PAGODES_21004F511</t>
  </si>
  <si>
    <t>AVENUE FRANKLIN ROOSEVELT_21004C642</t>
  </si>
  <si>
    <t>AVENUE SCHALLER_21002A12-</t>
  </si>
  <si>
    <t>BAECK_21012A20-</t>
  </si>
  <si>
    <t>BAECK DUPRE_21010A312</t>
  </si>
  <si>
    <t>BARRIERE_21013A40-</t>
  </si>
  <si>
    <t>BASCULE_21016A81-</t>
  </si>
  <si>
    <t>BASILIQUE_21011A12-</t>
  </si>
  <si>
    <t>BEAU SEJOUR_21016A232</t>
  </si>
  <si>
    <t>BEAULIEU_21002A52-</t>
  </si>
  <si>
    <t>BEEKKANT_21012A25-</t>
  </si>
  <si>
    <t>BEETEPUT_21018A04-</t>
  </si>
  <si>
    <t>BEGUINAGE (PLACE DU)_21004A25-</t>
  </si>
  <si>
    <t>BEGUINETTES_21017A230</t>
  </si>
  <si>
    <t>BELVEDERE_21009A602</t>
  </si>
  <si>
    <t>BEMEL_21019A31-</t>
  </si>
  <si>
    <t>BENES_21012A50-</t>
  </si>
  <si>
    <t>BERANGER_21007A50-</t>
  </si>
  <si>
    <t>BERCKENDAEL_21009A73-</t>
  </si>
  <si>
    <t>BERCKENDAEL (RUE)_21007A73-</t>
  </si>
  <si>
    <t>BETHLEEM (PLACE DE)_21013A242</t>
  </si>
  <si>
    <t>BIENFAITEURS (PLACE DE)_21015A33-</t>
  </si>
  <si>
    <t>BIESTEBROEK_21001A112</t>
  </si>
  <si>
    <t>BIRMINGHAM_21001A07-</t>
  </si>
  <si>
    <t>BIRMINGHAM-NORD_21012A13-</t>
  </si>
  <si>
    <t>BIRMINGHAM-SUD_21012A12-</t>
  </si>
  <si>
    <t>BIZET_21001A30-</t>
  </si>
  <si>
    <t>BLAES (RUE)-CENTRE_21004A71-</t>
  </si>
  <si>
    <t>BLAES (RUE)-SUD_21004A70-</t>
  </si>
  <si>
    <t>BLOCS SAINT-VINCENT_21006A03-</t>
  </si>
  <si>
    <t>BLYCKAERTS_21009A01-</t>
  </si>
  <si>
    <t>BOENDAAL-OUEST_21004C62-</t>
  </si>
  <si>
    <t>BOLLINCKX_21007A071</t>
  </si>
  <si>
    <t>BON AIR - CENTRE_21001C70-</t>
  </si>
  <si>
    <t>BON AIR - CITE JARDIN_21001C71-</t>
  </si>
  <si>
    <t>BON PASTEUR_21006A094</t>
  </si>
  <si>
    <t>BON SECOURS - PALAIS DU MIDI_21004A03-</t>
  </si>
  <si>
    <t>BOONDAEL-NORD_21009A301</t>
  </si>
  <si>
    <t>BOONDAEL-SUD_21009A802</t>
  </si>
  <si>
    <t>BOSSUET_21014A41-</t>
  </si>
  <si>
    <t>BOULEAUX_21017A13-</t>
  </si>
  <si>
    <t>BOULEVARD DE LA WOLUWE_21019A01-</t>
  </si>
  <si>
    <t>BOURDON_21016A601</t>
  </si>
  <si>
    <t>BOURGOGNE_21007A101</t>
  </si>
  <si>
    <t>BOURSE_21004A002</t>
  </si>
  <si>
    <t>BOURSE-NORD-OUEST_21004A20-</t>
  </si>
  <si>
    <t>BRABANT (RUE DE)_21015A40-</t>
  </si>
  <si>
    <t>BRASILIA_21012A22-</t>
  </si>
  <si>
    <t>BRICHAUT (RUE DE)_21015A612</t>
  </si>
  <si>
    <t>BROECK_21001A81-</t>
  </si>
  <si>
    <t>BROGNIEZ-NORD_21001B21-</t>
  </si>
  <si>
    <t>BROGNIEZ-SUD_21001B22-</t>
  </si>
  <si>
    <t>BRUGMANN_21010A141</t>
  </si>
  <si>
    <t>BRUGMANN_21016A85-</t>
  </si>
  <si>
    <t>BRUNFAUT (QUARTIER)_21012A02-</t>
  </si>
  <si>
    <t>BRUSILIA_21015A622</t>
  </si>
  <si>
    <t>BUFFON_21001A95-</t>
  </si>
  <si>
    <t>CAMBIER (AVENUE E.)_21015A36-</t>
  </si>
  <si>
    <t>CAMPUS UNIVERSITAIRE_21009A2MJ</t>
  </si>
  <si>
    <t>CANAL-NORD_21012A732</t>
  </si>
  <si>
    <t>CANAL-SUD_21012A011</t>
  </si>
  <si>
    <t>CANARIS (AVENUE DES)_21002A22-</t>
  </si>
  <si>
    <t>CAPITAINE PIRET (AVENUE)_21019A03-</t>
  </si>
  <si>
    <t>CAPOUILLET (RUE)_21013A02-</t>
  </si>
  <si>
    <t>CARDINAL LAVIGERIE (RUE)_21005A33-</t>
  </si>
  <si>
    <t>CARLI_21006A515</t>
  </si>
  <si>
    <t>CARLOO_21016A429</t>
  </si>
  <si>
    <t>CASERNE_21005A311</t>
  </si>
  <si>
    <t>CASERNE_21009A922</t>
  </si>
  <si>
    <t>CENTRE_21019A001</t>
  </si>
  <si>
    <t>CENTRE_21012A00-</t>
  </si>
  <si>
    <t>CENTRE_21006A011</t>
  </si>
  <si>
    <t>CENTRE_21009A00-</t>
  </si>
  <si>
    <t>CENTRE_21010A00-</t>
  </si>
  <si>
    <t>CENTRE_21003A00-</t>
  </si>
  <si>
    <t>CENTRE_21008A00-</t>
  </si>
  <si>
    <t>CENTRE - NORD_21002A00-</t>
  </si>
  <si>
    <t>CENTRE DE BOITSFORT_21017A000</t>
  </si>
  <si>
    <t>CENTRE DE WATERMAEL_21017A501</t>
  </si>
  <si>
    <t>CENTRE SAINT-DENIS_21007A00-</t>
  </si>
  <si>
    <t>CENTRE-OUEST_21016A901</t>
  </si>
  <si>
    <t>CENTRE-SUD_21002A02-</t>
  </si>
  <si>
    <t>CERIA - ZONE D'HABITAT_21001A350</t>
  </si>
  <si>
    <t>CERISIERS (AVENUE DES)_21015A51-</t>
  </si>
  <si>
    <t>CH. GILISQUET - SUD (AVENUE)_21015A822</t>
  </si>
  <si>
    <t>CHAMP DE REPOS_21006A052</t>
  </si>
  <si>
    <t>CHAMP DU ROI (RUE)_21005A02-</t>
  </si>
  <si>
    <t>CHANCELLERIE_21018A14-</t>
  </si>
  <si>
    <t>CHANT D'OISEAU_21019A32-</t>
  </si>
  <si>
    <t>CHANT D'OISEAUX_21002A441</t>
  </si>
  <si>
    <t>CHANTS D'OISEAUX_21001C512</t>
  </si>
  <si>
    <t>CHARITE_21014A02-</t>
  </si>
  <si>
    <t>CHARLES-QUINT_21008A20-</t>
  </si>
  <si>
    <t>CHARTE_21008A35-</t>
  </si>
  <si>
    <t>CHATAIGNE_21007A51-</t>
  </si>
  <si>
    <t>CHATELAIN (PLACE DU)-EST_21009A451</t>
  </si>
  <si>
    <t>CHATELAIN (PLACE DU)-OUEST_21009A712</t>
  </si>
  <si>
    <t>CHAUSSEE D'ALSEMBERG_21007A71-</t>
  </si>
  <si>
    <t>CHAUSSEE DE MONS - SAINT-LUC_21001A31-</t>
  </si>
  <si>
    <t>CHAUSSEE DE WATERLOO-EST_21016A322</t>
  </si>
  <si>
    <t>CHAUSSEE DE WATERLOO-OUEST_21016A331</t>
  </si>
  <si>
    <t>CHURCHILL_21016A82-</t>
  </si>
  <si>
    <t>CIMETIERE DE SAINT-JOSSE_21015A782</t>
  </si>
  <si>
    <t>CITE ADMINISTRATIVE ET CONGRES_21004A3MJ</t>
  </si>
  <si>
    <t>CITE DE LA CHAUSSEE_21004B2NJ</t>
  </si>
  <si>
    <t>CITE JOLI-BOIS_21019A41-</t>
  </si>
  <si>
    <t>CITE MODELE_21004E82-</t>
  </si>
  <si>
    <t>CITE MODERNE_21003A11-</t>
  </si>
  <si>
    <t>CITE-JARDIN_21010A13-</t>
  </si>
  <si>
    <t>CLOS DES PEUPLIERS_21018A32-</t>
  </si>
  <si>
    <t>CLOS DU SOLEIL_21019A02-</t>
  </si>
  <si>
    <t>CLOS DU ZAVELENBERG_21003A212</t>
  </si>
  <si>
    <t>COGHEN_21016A03-</t>
  </si>
  <si>
    <t>COIN DES CERISES_21004F930</t>
  </si>
  <si>
    <t>COIN DU BALAI_21017A01-</t>
  </si>
  <si>
    <t>COLIGNON (PLACE)_21015A00-</t>
  </si>
  <si>
    <t>COLLEGE SAINT-MICHEL_21019A51-</t>
  </si>
  <si>
    <t>COMMUNAUTES_21018A37-</t>
  </si>
  <si>
    <t>COMMUNAUTES_21006A474</t>
  </si>
  <si>
    <t>CONDOR_21012A851</t>
  </si>
  <si>
    <t>CONGRES - GARE_21004A32-</t>
  </si>
  <si>
    <t>CONSCIENCE_21006A101</t>
  </si>
  <si>
    <t>CONSEIL-NORD_21001B20-</t>
  </si>
  <si>
    <t>CONSEIL-SUD_21001B23-</t>
  </si>
  <si>
    <t>CONSOLATION (RUE DE LA)_21015A32-</t>
  </si>
  <si>
    <t>CONSTELLATIONS_21018A63-</t>
  </si>
  <si>
    <t>CORNICHE VERTE_21019A43-</t>
  </si>
  <si>
    <t>COURS ST-MICHEL_21005A082</t>
  </si>
  <si>
    <t>CRICKX (RUE)_21013A422</t>
  </si>
  <si>
    <t>CROCUS_21001A941</t>
  </si>
  <si>
    <t>CROIX DE GUERRE (AVENUE DES)_21004F91-</t>
  </si>
  <si>
    <t>CURE D'ARS_21007A01-</t>
  </si>
  <si>
    <t>DAILLY (PLACE)_21015A53-</t>
  </si>
  <si>
    <t>DANEMARK (RUE DE)_21013A252</t>
  </si>
  <si>
    <t>DARING_21012A882</t>
  </si>
  <si>
    <t>DE BROQUEVILLE (AVENUE)-NORD_21018A21-</t>
  </si>
  <si>
    <t>DE BROQUEVILLE (AVENUE)-SUD_21018A22-</t>
  </si>
  <si>
    <t>DE MESMAEKER_21008A23-</t>
  </si>
  <si>
    <t>DE SELLIERS DE MORANVILLE_21003A05-</t>
  </si>
  <si>
    <t>DEFACQZ_21009A72-</t>
  </si>
  <si>
    <t>DELHAIZE_21012A54-</t>
  </si>
  <si>
    <t>DESCHANEL P. (AVENUE)_21015A63-</t>
  </si>
  <si>
    <t>DETHY (RUE)_21013A13-</t>
  </si>
  <si>
    <t>DEUX EGLISES (RUE DES)_21004B411</t>
  </si>
  <si>
    <t>DEUX GARES_21001B372</t>
  </si>
  <si>
    <t>DEUX MAISONS_21018A643</t>
  </si>
  <si>
    <t>DIEWEG_21016A01-</t>
  </si>
  <si>
    <t>DISQUE (RUE DU)_21004E81-</t>
  </si>
  <si>
    <t>DIVIN JESUS_21004E800</t>
  </si>
  <si>
    <t>DOCTEUR ROUX_21001A441</t>
  </si>
  <si>
    <t>DON BOSCO_21019A052</t>
  </si>
  <si>
    <t>DREVE DES EQUIPAGES_21017A021</t>
  </si>
  <si>
    <t>DREVE DU DUC_21017A041</t>
  </si>
  <si>
    <t>DRIES_21018A05-</t>
  </si>
  <si>
    <t>DRIES_21017A432</t>
  </si>
  <si>
    <t>DU BONHEUR_21006A23-</t>
  </si>
  <si>
    <t>DUBRUCQ-NORD_21012A63-</t>
  </si>
  <si>
    <t>DUC (RUE)_21019A52-</t>
  </si>
  <si>
    <t>DUCHESSE DE BRABANT_21012A10-</t>
  </si>
  <si>
    <t>DUPLOYE SQUARE_21015A64-</t>
  </si>
  <si>
    <t>E. JACQMAIN (BOULEVARD)-OUEST_21004A83-</t>
  </si>
  <si>
    <t>ECHEVINAGE_21016A042</t>
  </si>
  <si>
    <t>ECOLE DES CADETS_21004E14-</t>
  </si>
  <si>
    <t>ECOLE MILITAIRE_21004B45-</t>
  </si>
  <si>
    <t>ED. DEKNOOP (RUE)_21006A142</t>
  </si>
  <si>
    <t>EGGERICX (RUE)_21019A04-</t>
  </si>
  <si>
    <t>EGLANTINES (AVENUE)_21019A30-</t>
  </si>
  <si>
    <t>EGLISE ANGLICANE_21009A542</t>
  </si>
  <si>
    <t>ELBERS_21012A833</t>
  </si>
  <si>
    <t>EM. BOCKSTAEL (BOULEVARD)-SUD_21004E73-</t>
  </si>
  <si>
    <t>EM. DELVA (RUE)_21004E74-</t>
  </si>
  <si>
    <t>EMERAUDE (AVENUE)_21015A54-</t>
  </si>
  <si>
    <t>ENGELAND_21016A610</t>
  </si>
  <si>
    <t>ERMITAGE_21009A03-</t>
  </si>
  <si>
    <t>ESCRIME (AVENUE DE L')_21019A12-</t>
  </si>
  <si>
    <t>ESPAGNE (RUE D')_21013A01-</t>
  </si>
  <si>
    <t>ESSEGHEM_21010A01-</t>
  </si>
  <si>
    <t>ETANGS NOIRS_21012A152</t>
  </si>
  <si>
    <t>ETE_21009A21-</t>
  </si>
  <si>
    <t>ETOILE (ROND POINT DE L')_21009A23-</t>
  </si>
  <si>
    <t>EUROPE_21018A41-</t>
  </si>
  <si>
    <t>EUROPE (QUARTIER DE L')_21019A34-</t>
  </si>
  <si>
    <t>F. COURTENS (AVENUE)_21015A721</t>
  </si>
  <si>
    <t>F. MOHRFELD (RUE DE)_21010A121</t>
  </si>
  <si>
    <t>FAIDER (RUE)_21013A052</t>
  </si>
  <si>
    <t>FAISANDERIE_21019A441</t>
  </si>
  <si>
    <t>FERNAND NEURAY_21009A43-</t>
  </si>
  <si>
    <t>FLAGEY (PLACE)_21009A101</t>
  </si>
  <si>
    <t>FLOREAL_21017A11-</t>
  </si>
  <si>
    <t>FOND_21016A342</t>
  </si>
  <si>
    <t>FONTAINAS_21013A211</t>
  </si>
  <si>
    <t>FORET_21009A82-</t>
  </si>
  <si>
    <t>FORT JACO_21016A311</t>
  </si>
  <si>
    <t>FOYER FORESTOIS - FAMILLE_21007A03-</t>
  </si>
  <si>
    <t>FOYER FORESTOIS - MADELON_21007A04-</t>
  </si>
  <si>
    <t>FUTAIE_21017A451</t>
  </si>
  <si>
    <t>GACHARD_21009A13-</t>
  </si>
  <si>
    <t>GARE_21003A2MJ</t>
  </si>
  <si>
    <t>GARE_21015A101</t>
  </si>
  <si>
    <t>GARE DU NORD_21015A43-</t>
  </si>
  <si>
    <t>GARE OUEST_21012A172</t>
  </si>
  <si>
    <t>GENERAL DE GAULLE_21009A121</t>
  </si>
  <si>
    <t>GENERAL HENRI (RUE)_21005A10-</t>
  </si>
  <si>
    <t>GEORGES HENRI (AVENUE)_21018A20-</t>
  </si>
  <si>
    <t>GERMINAL I_21006A12-</t>
  </si>
  <si>
    <t>GERMINAL II_21006A323</t>
  </si>
  <si>
    <t>GIBET_21006A25-</t>
  </si>
  <si>
    <t>GLOBE_21007A242</t>
  </si>
  <si>
    <t>GLOBE-EST_21016A00-</t>
  </si>
  <si>
    <t>GLOBE-OUEST_21016A912</t>
  </si>
  <si>
    <t>GOUJONS_21001B332</t>
  </si>
  <si>
    <t>GRAND SABLON_21004A14-</t>
  </si>
  <si>
    <t>GRANDE RUE AU BOIS_21015A30-</t>
  </si>
  <si>
    <t>GRAND-PLACE_21004A001</t>
  </si>
  <si>
    <t>GRAY (RUE)_21009A52-</t>
  </si>
  <si>
    <t>GROESELENBERG_21016A102</t>
  </si>
  <si>
    <t>GROOTVELD_21018A13-</t>
  </si>
  <si>
    <t>GUIDO GEZELLE (RUE)_21015A21-</t>
  </si>
  <si>
    <t>GUILLAUME TELL-SUD_21013A121</t>
  </si>
  <si>
    <t>GULLEDELLE_21018A3MJ</t>
  </si>
  <si>
    <t>H. EVENEPOEL (RUE)_21015A73-</t>
  </si>
  <si>
    <t>HAECHT (CHAUSSEE DE)_21014A04-</t>
  </si>
  <si>
    <t>HAMOIR_21016A12-</t>
  </si>
  <si>
    <t>HAREN-EST_21004G321</t>
  </si>
  <si>
    <t>HAREN-SUD_21004G3NJ</t>
  </si>
  <si>
    <t>HAREN-SUD-OUEST_21004G310</t>
  </si>
  <si>
    <t>HAUT-CHAMP_21003A03-</t>
  </si>
  <si>
    <t>HAUT-EVERE_21006A201</t>
  </si>
  <si>
    <t>HAVESKERCKE_21007A12-</t>
  </si>
  <si>
    <t>HEIDEKEN_21008A32-</t>
  </si>
  <si>
    <t>HELICE (AVENUE DE L')_21019A45-</t>
  </si>
  <si>
    <t>HELMET_21015A20-</t>
  </si>
  <si>
    <t>HEYDENBERG-EST_21018A61-</t>
  </si>
  <si>
    <t>HEYDENBERG-OUEST_21018A62-</t>
  </si>
  <si>
    <t>HEYMBOSCH_21010A111</t>
  </si>
  <si>
    <t>HOF TEN BERG-NORD_21018A35-</t>
  </si>
  <si>
    <t>HOF TEN BERG-SUD_21018A34-</t>
  </si>
  <si>
    <t>HOGENBOS_21003A342</t>
  </si>
  <si>
    <t>HOMBORCH_21016A639</t>
  </si>
  <si>
    <t>HOME FAMILIAL BRABANT_21006A21-</t>
  </si>
  <si>
    <t>HOPITAL FRANCAIS_21003A10-</t>
  </si>
  <si>
    <t>HOPITAL P. BRIEN_21015A272</t>
  </si>
  <si>
    <t>HOPITAL U.L.B._21001C522</t>
  </si>
  <si>
    <t>HOPITAUX_21009A652</t>
  </si>
  <si>
    <t>HORIZON (AVENUE)_21019A35-</t>
  </si>
  <si>
    <t>HOTEL COMMUNAL_21005A00-</t>
  </si>
  <si>
    <t>HOTEL DE VILLE_21013A00-</t>
  </si>
  <si>
    <t>HOUFFALIZE (PLACE)_21015A021</t>
  </si>
  <si>
    <t>HOUWAERT_21014A05-</t>
  </si>
  <si>
    <t>HUART HAMOIR (AVENUE)_21015A12-</t>
  </si>
  <si>
    <t>HUNDERENVELD_21003A0AJ</t>
  </si>
  <si>
    <t>IEDER ZIJN HUIS - STROOBANTS_21006A02-</t>
  </si>
  <si>
    <t>IEDER ZIJN HUIS - ZAVENTEM_21006A24-</t>
  </si>
  <si>
    <t>INDEPENDANCE_21012A141</t>
  </si>
  <si>
    <t>INDUSTRIE_21012A11-</t>
  </si>
  <si>
    <t>INVALIDES (BOULEVARD DES)_21002A511</t>
  </si>
  <si>
    <t>J. BLOCKX (RUE)_21015A231</t>
  </si>
  <si>
    <t>J. BORDET (AVENUE DE)_21006A312</t>
  </si>
  <si>
    <t>JACOBS (PLACE)_21004A15-</t>
  </si>
  <si>
    <t>JACQUET (RUE DE)_21011A02-</t>
  </si>
  <si>
    <t>JAKOB SMITS_21001A92-</t>
  </si>
  <si>
    <t>JAMAR_21013A612</t>
  </si>
  <si>
    <t>JARDINS_21015A71-</t>
  </si>
  <si>
    <t>JEAN STOBBAERTS (AVENUE)_21015A35-</t>
  </si>
  <si>
    <t>JOSAPHAT (RUE)_21015A03-</t>
  </si>
  <si>
    <t>KAPELLEVELD_21019A15-</t>
  </si>
  <si>
    <t>KAPELLEVELD-NORD-EST_21018A84-</t>
  </si>
  <si>
    <t>KAPELLEVELD-SUD_21018A81-</t>
  </si>
  <si>
    <t>KAT_21001A42-</t>
  </si>
  <si>
    <t>KATANGA_21007A06-</t>
  </si>
  <si>
    <t>KAUWBERG_21016A490</t>
  </si>
  <si>
    <t>KEET_21006A153</t>
  </si>
  <si>
    <t>KEIENBEMPT_21016A71-</t>
  </si>
  <si>
    <t>KELLE_21019A231</t>
  </si>
  <si>
    <t>KERKHOEK_21006A042</t>
  </si>
  <si>
    <t>KLAKKEDELLE_21018A83-</t>
  </si>
  <si>
    <t>KLAUWAERTS_21009A623</t>
  </si>
  <si>
    <t>KLEINMOLEN_21001A011</t>
  </si>
  <si>
    <t>KONKEL_21019A131</t>
  </si>
  <si>
    <t>KORENBEEK_21012A822</t>
  </si>
  <si>
    <t>KRIEKENPUT_21016A620</t>
  </si>
  <si>
    <t>L. DE SMET_21003A04-</t>
  </si>
  <si>
    <t>L. ERNOTTE (RUE)_21009A83-</t>
  </si>
  <si>
    <t>LA CHASSE_21005A13-</t>
  </si>
  <si>
    <t>LAEKENVELD_21012A60-</t>
  </si>
  <si>
    <t>LAMBEAU (AVENUE)_21018A24-</t>
  </si>
  <si>
    <t>LAMMERENDRIES_21002A030</t>
  </si>
  <si>
    <t>LATINIS (AVENUE G.)_21015A831</t>
  </si>
  <si>
    <t>LAURE - BASILIQUE_21003A02-</t>
  </si>
  <si>
    <t>LAVALLEE_21012A72-</t>
  </si>
  <si>
    <t>LE CHAT_21016A05-</t>
  </si>
  <si>
    <t>LE HOME_21008A30-</t>
  </si>
  <si>
    <t>LE LOGIS-NORD_21017A12-</t>
  </si>
  <si>
    <t>LE LOGIS-SUD_21017A220</t>
  </si>
  <si>
    <t>LEBON_21002A21-</t>
  </si>
  <si>
    <t>LEOPOLD (PARC)_21004B293</t>
  </si>
  <si>
    <t>LEOPOLD I_21010A02-</t>
  </si>
  <si>
    <t>LEPREUX_21011A11-</t>
  </si>
  <si>
    <t>LES SOURCES_21018A15-</t>
  </si>
  <si>
    <t>LIBERATEURS_21012A62-</t>
  </si>
  <si>
    <t>LIBERTE (PLACE DE LA)_21004A33-</t>
  </si>
  <si>
    <t>LIEGEOIS (RUE)_21009A612</t>
  </si>
  <si>
    <t>LINDE-EST_21001A051</t>
  </si>
  <si>
    <t>LINDE-OUEST_21001A152</t>
  </si>
  <si>
    <t>LINTHOUT (RUE)_21015A52-</t>
  </si>
  <si>
    <t>L'OLIVIER (RUE)_21015A04-</t>
  </si>
  <si>
    <t>LONDRES (PLACE DE)_21009A53-</t>
  </si>
  <si>
    <t>LONGCHAMP_21016A831</t>
  </si>
  <si>
    <t>LOUISE (AVENUE)-NORD_21004C501</t>
  </si>
  <si>
    <t>LOUISE (AVENUE)-NORD-EST_21004C51-</t>
  </si>
  <si>
    <t>LOUISE (AVENUE)-NORD-OUEST_21004C52-</t>
  </si>
  <si>
    <t>LOUISE (AVENUE)-SUD_21004C552</t>
  </si>
  <si>
    <t>LOUISE (AVENUE)-SUD-EST_21004C54-</t>
  </si>
  <si>
    <t>LOUISE (AVENUE)-SUD-OUEST_21004C53-</t>
  </si>
  <si>
    <t>LOUTRIER - WIENER_21017A541</t>
  </si>
  <si>
    <t>LUXEMBOURG (PLACE DE)_21009A501</t>
  </si>
  <si>
    <t>LYCEE_21007A541</t>
  </si>
  <si>
    <t>MACAU_21009A63-</t>
  </si>
  <si>
    <t>MACHTENS-NORD_21012A26-</t>
  </si>
  <si>
    <t>MACHTENS-SUD_21012A23-</t>
  </si>
  <si>
    <t>MADELEINE_21010A21-</t>
  </si>
  <si>
    <t>MADOU_21014A03-</t>
  </si>
  <si>
    <t>MAELBEEK_21005A031</t>
  </si>
  <si>
    <t>MAETERLINCK_21015A111</t>
  </si>
  <si>
    <t>MAGNANERIE_21007A21-</t>
  </si>
  <si>
    <t>MAIL_21008A21-</t>
  </si>
  <si>
    <t>MAISON COMMUNALE_21006A13-</t>
  </si>
  <si>
    <t>MAISON ROUGE (PLACE)-SUD_21004E72-</t>
  </si>
  <si>
    <t>MANHATTAN_21014A3MJ</t>
  </si>
  <si>
    <t>MANOIR_21019A21-</t>
  </si>
  <si>
    <t>MARBOTIN A. (RUE)_21015A22-</t>
  </si>
  <si>
    <t>MARCHE AU PORCS_21004A24-</t>
  </si>
  <si>
    <t>MARIE LA MISERABLE_21018A82-</t>
  </si>
  <si>
    <t>MARIE-CHRISTINE (RUE)_21004E70-</t>
  </si>
  <si>
    <t>MARIE-JOSE BLOCS_21012A21-</t>
  </si>
  <si>
    <t>MARIE-LOUISE (SQUARE)_21004B421</t>
  </si>
  <si>
    <t>MARTIN-PECHEUR_21017A523</t>
  </si>
  <si>
    <t>MASUI (PLACE)-NORD_21004D64-</t>
  </si>
  <si>
    <t>MEERVELD_21001C5PA</t>
  </si>
  <si>
    <t>MELEZES_21009A40-</t>
  </si>
  <si>
    <t>MELKRIEK_21016A72-</t>
  </si>
  <si>
    <t>MERLO_21016A701</t>
  </si>
  <si>
    <t>MESSIDOR I_21007A111</t>
  </si>
  <si>
    <t>MESSIDOR II_21007A252</t>
  </si>
  <si>
    <t>METAL (RUE DU)_21013A151</t>
  </si>
  <si>
    <t>METTEWIE - IDYLLE_21012A30-</t>
  </si>
  <si>
    <t>METTEWIE-BUILDINGS_21012A84-</t>
  </si>
  <si>
    <t>MEXICO_21012A611</t>
  </si>
  <si>
    <t>MILLE METRES (AVENUE)_21019A11-</t>
  </si>
  <si>
    <t>MIMOSAS (AVENUE)_21019A33-</t>
  </si>
  <si>
    <t>MINIMES_21001A120</t>
  </si>
  <si>
    <t>MIROIR_21010A03-</t>
  </si>
  <si>
    <t>MOENSBERG_21016A533</t>
  </si>
  <si>
    <t>MOLENBERG_21003A011</t>
  </si>
  <si>
    <t>MOLENSTEEN_21016A64-</t>
  </si>
  <si>
    <t>MOLIERE_21007A72-</t>
  </si>
  <si>
    <t>MONNAIE_21004A34-</t>
  </si>
  <si>
    <t>MONNET_21003A41-</t>
  </si>
  <si>
    <t>MONTE CARLO_21007A142</t>
  </si>
  <si>
    <t>MONTENEGRO (RUE)_21007A61-</t>
  </si>
  <si>
    <t>MONTGOLFIER_21019A252</t>
  </si>
  <si>
    <t>MOORTEBEEK_21012A41-</t>
  </si>
  <si>
    <t>MOORTEBEEK_21001A82-</t>
  </si>
  <si>
    <t>MUSEE_21009A02-</t>
  </si>
  <si>
    <t>MYRTES-NORD_21012A811</t>
  </si>
  <si>
    <t>NATIONS (SQUARE DES)_21004C63-</t>
  </si>
  <si>
    <t>NEDER-HEEMBEEK-NORD_21004F9MJ</t>
  </si>
  <si>
    <t>NEEP (QUARTIER DU)_21012A52-</t>
  </si>
  <si>
    <t>NEERSTALLE_21007A05-</t>
  </si>
  <si>
    <t>NEERVELD_21018A33-</t>
  </si>
  <si>
    <t>NELLIE MELBA_21001A53-</t>
  </si>
  <si>
    <t>NEPTUNE (AVENUE) I_21007A239</t>
  </si>
  <si>
    <t>NOTRE-DAME DE LA CHAPELLE_21004A04-</t>
  </si>
  <si>
    <t>NOTRE-DAME DE LOURDES_21010A04-</t>
  </si>
  <si>
    <t>NOTRE-DAME DU SACRE-COEUR_21005A11-</t>
  </si>
  <si>
    <t>NOUVEAU MARCHE AU GRAIN_21004A23-</t>
  </si>
  <si>
    <t>NOUVELLE AVENUE-SUD_21005A322</t>
  </si>
  <si>
    <t>OASIS - PROVENCE - LANGUEDOC_21006A11-</t>
  </si>
  <si>
    <t>OPALE_21015A50-</t>
  </si>
  <si>
    <t>ORBAN (SQUARE)_21004B10-</t>
  </si>
  <si>
    <t>OSSEGEM_21001A72-</t>
  </si>
  <si>
    <t>OSSEGHEM_21012A24-</t>
  </si>
  <si>
    <t>P. DUPONT (RUE)_21006A414</t>
  </si>
  <si>
    <t>P. HYMANS (RUE)_21015A70-</t>
  </si>
  <si>
    <t>PAIX (AVENUE DE LA)_21011A10-</t>
  </si>
  <si>
    <t>PALAIS (RUE DE)_21015A421</t>
  </si>
  <si>
    <t>PALAIS JUSTICE-HOP. ST.-PIERRE_21004A16-</t>
  </si>
  <si>
    <t>PAQUERETTES (RUE)_21015A34-</t>
  </si>
  <si>
    <t>PARC ALBERT_21008A34-</t>
  </si>
  <si>
    <t>PARC DE FOREST_21007A783</t>
  </si>
  <si>
    <t>PARC DES PRINCES_21002A130</t>
  </si>
  <si>
    <t>PARC SCHUMAN_21018A311</t>
  </si>
  <si>
    <t>PARME (RUE DE)_21013A11-</t>
  </si>
  <si>
    <t>PARVIS_21013A101</t>
  </si>
  <si>
    <t>PARVIS_21013A102</t>
  </si>
  <si>
    <t>PARVIS SAINT-ROCH_21004D600</t>
  </si>
  <si>
    <t>PATRIE_21015A31-</t>
  </si>
  <si>
    <t>PECHERIE_21016A44-</t>
  </si>
  <si>
    <t>PECHERIES_21017A624</t>
  </si>
  <si>
    <t>PECHERIES_21002A53-</t>
  </si>
  <si>
    <t>PETERBOS_21001A83-</t>
  </si>
  <si>
    <t>PETIT SABLON_21004A13-</t>
  </si>
  <si>
    <t>PETITE SUISSE (PLACE DE LA)_21009A20-</t>
  </si>
  <si>
    <t>PFEIFFER_21012A552</t>
  </si>
  <si>
    <t>PH. BAUCQ (RUE)_21005A042</t>
  </si>
  <si>
    <t>PIERS_21012A71-</t>
  </si>
  <si>
    <t>PLACE PETER BENOIT_21004F901</t>
  </si>
  <si>
    <t>PLACE SAINT-JOSSE_21014A00-</t>
  </si>
  <si>
    <t>PLATEAU_21011A20-</t>
  </si>
  <si>
    <t>PLATEAU_21008A10-</t>
  </si>
  <si>
    <t>POESIE_21001A84-</t>
  </si>
  <si>
    <t>PONT DE LUTTRE_21007A40-</t>
  </si>
  <si>
    <t>PONT DE LUTTRE-OUEST_21007A41-</t>
  </si>
  <si>
    <t>PORSELEIN_21001A10-</t>
  </si>
  <si>
    <t>PORTAELS (RUE)_21015A13-</t>
  </si>
  <si>
    <t>PORTE DE NAMUR_21009A552</t>
  </si>
  <si>
    <t>PORTE DE TERVUEREN - BRAFFORT_21005A21-</t>
  </si>
  <si>
    <t>PORTE DE TERVUEREN - TONGRES_21005A20-</t>
  </si>
  <si>
    <t>POTAARDE  VLAK_21003A312</t>
  </si>
  <si>
    <t>PR. ELISABETH-NORD_21015A152</t>
  </si>
  <si>
    <t>PRAIRIE_21014A14-</t>
  </si>
  <si>
    <t>PREVOT_21009A44-</t>
  </si>
  <si>
    <t>PRINCE LEOPOLD (SQUARE)_21004E12-</t>
  </si>
  <si>
    <t>PRINCES BRABANCONS_21017A635</t>
  </si>
  <si>
    <t>PRISON_21013A04-</t>
  </si>
  <si>
    <t>PTOLEMEE_21016A225</t>
  </si>
  <si>
    <t>PUTDAAL_21019A22-</t>
  </si>
  <si>
    <t>PUTDAAL_21002A411</t>
  </si>
  <si>
    <t>QUAI DE WILLEBROECK_21004D672</t>
  </si>
  <si>
    <t>QUAI DU COMMERCE_21004A811</t>
  </si>
  <si>
    <t>QUARTIER CICERO_21006A403</t>
  </si>
  <si>
    <t>QUARTIER DES PEINTRES_21018A512</t>
  </si>
  <si>
    <t>QUARTIER GROSJEAN_21006A272</t>
  </si>
  <si>
    <t>QUARTIER INDUSTRIE_21002A372</t>
  </si>
  <si>
    <t>QUATRE VENTS_21012A041</t>
  </si>
  <si>
    <t>R.T.B._21015A77-</t>
  </si>
  <si>
    <t>RANSFORT_21012A03-</t>
  </si>
  <si>
    <t>RASANTE_21018A09-</t>
  </si>
  <si>
    <t>RAUTER-NORD_21001A132</t>
  </si>
  <si>
    <t>RAUTER-SUD_21001A031</t>
  </si>
  <si>
    <t>REFORME_21008A240</t>
  </si>
  <si>
    <t>REGENT (BOULEVARD DU)_21004A12-</t>
  </si>
  <si>
    <t>REGIES_21013A22-</t>
  </si>
  <si>
    <t>REINE (AVENUE)_21015A44-</t>
  </si>
  <si>
    <t>REINE MARIE-HENRIETTE_21007A552</t>
  </si>
  <si>
    <t>RENIER CHALON_21009A42-</t>
  </si>
  <si>
    <t>RESISTANCE_21001A00-</t>
  </si>
  <si>
    <t>REVISION-NORD_21001B25-</t>
  </si>
  <si>
    <t>REVISION-SUD_21001B241</t>
  </si>
  <si>
    <t>RINSDELLE_21005A051</t>
  </si>
  <si>
    <t>ROETAERT_21016A731</t>
  </si>
  <si>
    <t>ROGATIONS_21018A72-</t>
  </si>
  <si>
    <t>ROI (AVENUE DU)_21013A23-</t>
  </si>
  <si>
    <t>ROMAIN ROLLAND_21001A41-</t>
  </si>
  <si>
    <t>ROODEBEEK_21018A43-</t>
  </si>
  <si>
    <t>ROODEBEEK PARC_21018A60-</t>
  </si>
  <si>
    <t>ROOSENDAEL (RUE)_21007A201</t>
  </si>
  <si>
    <t>ROSEE-EST_21001B10-</t>
  </si>
  <si>
    <t>ROSEE-OUEST_21001B11-</t>
  </si>
  <si>
    <t>ROUE_21001A332</t>
  </si>
  <si>
    <t>ROUE - CITE JARDIN_21001A34-</t>
  </si>
  <si>
    <t>ROYALE SAINTE-MARIE (RUE)_21015A05-</t>
  </si>
  <si>
    <t>RUE CHATEAU BEYAERD_21004F922</t>
  </si>
  <si>
    <t>RUE DE PASCAL - ST.-SACREMENT_21004B2WJ</t>
  </si>
  <si>
    <t>RUE D'ECOSSE_21013A522</t>
  </si>
  <si>
    <t>RUE DES BEGONIAS_21017A534</t>
  </si>
  <si>
    <t>RUE DES COMMERCANTS_21004A822</t>
  </si>
  <si>
    <t>RUE DES FAINES_21004F531</t>
  </si>
  <si>
    <t>RUE DU WIMPELBERG_21004F953</t>
  </si>
  <si>
    <t>SACRE-COEUR_21002A11-</t>
  </si>
  <si>
    <t>SAINT-ADRIEN_21009A33-</t>
  </si>
  <si>
    <t>SAINT-ANTOINE_21007A60-</t>
  </si>
  <si>
    <t>SAINT-ANTOINE_21005A12-</t>
  </si>
  <si>
    <t>SAINT-BONIFACE_21009A051</t>
  </si>
  <si>
    <t>SAINTE-ALIX_21019A40-</t>
  </si>
  <si>
    <t>SAINTE-ANNE_21002A01-</t>
  </si>
  <si>
    <t>SAINTE-ANNE_21011A01-</t>
  </si>
  <si>
    <t>SAINTE-ELISABETH_21004G30-</t>
  </si>
  <si>
    <t>SAINTE-FAMILLE_21018A30-</t>
  </si>
  <si>
    <t>SAINTE-FAMILLE_21015A142</t>
  </si>
  <si>
    <t>SAINTE-GERTRUDE_21005A01-</t>
  </si>
  <si>
    <t>SAINT-EXUPERY_21006A22-</t>
  </si>
  <si>
    <t>SAINT-FRANCOIS_21014A10-</t>
  </si>
  <si>
    <t>SAINT-FRANCOIS XAVIER_21004A02-</t>
  </si>
  <si>
    <t>SAINT-GEORGES_21009A41-</t>
  </si>
  <si>
    <t>SAINT-JOB_21016A400</t>
  </si>
  <si>
    <t>SAINT-JOSEPH_21012A05-</t>
  </si>
  <si>
    <t>SAINT-JULIEN_21002A20-</t>
  </si>
  <si>
    <t>SAINT-LAMBERT_21018A01-</t>
  </si>
  <si>
    <t>SAINT-LAZARE_21014A12-</t>
  </si>
  <si>
    <t>SAINT-LUC_21018A87-</t>
  </si>
  <si>
    <t>SAINT-MICHEL COLLEGE_21005A15-</t>
  </si>
  <si>
    <t>SAINT-PAUL_21019A20-</t>
  </si>
  <si>
    <t>SAINT-PHILIPPE DE NERI_21009A90-</t>
  </si>
  <si>
    <t>SAINT-THOMAS (INSTITUT)_21004A72-</t>
  </si>
  <si>
    <t>SALOME AVENUE_21019A42-</t>
  </si>
  <si>
    <t>SCHERDEMAEL_21001A51-</t>
  </si>
  <si>
    <t>SCHERDEMAEL-NORD_21001A52-</t>
  </si>
  <si>
    <t>SCHEUT - DE SMET_21001A712</t>
  </si>
  <si>
    <t>SCHEUT-EST_21001A911</t>
  </si>
  <si>
    <t>SCHEUTKAPEL_21001A90-</t>
  </si>
  <si>
    <t>SCHEUT-OUEST_21001A74-</t>
  </si>
  <si>
    <t>SCHEUTVELD_21001A732</t>
  </si>
  <si>
    <t>SCHOOLGAT_21009A812</t>
  </si>
  <si>
    <t>SCHUMAN (ROND-POINT)_21004B2MJ</t>
  </si>
  <si>
    <t>SENNE (RUE DE LA)_21004A22-</t>
  </si>
  <si>
    <t>SEPT ETOILES_21003A323</t>
  </si>
  <si>
    <t>SEPT-BONNIERS_21016A943</t>
  </si>
  <si>
    <t>SILLON_21001A80-</t>
  </si>
  <si>
    <t>SIPPELBERG_21012A53-</t>
  </si>
  <si>
    <t>SIPPELBERG_21008A02-</t>
  </si>
  <si>
    <t>SLEGERS (AVENUE)_21018A02-</t>
  </si>
  <si>
    <t>SOETKIN_21001C611</t>
  </si>
  <si>
    <t>SOUVERAIN (BLV DU)- BUILDINGS_21002A15-</t>
  </si>
  <si>
    <t>SOUVERAIN (BOULEVARD DU) NORD_21002A43-</t>
  </si>
  <si>
    <t>SOUVERAIN-OUEST_21017A240</t>
  </si>
  <si>
    <t>STADE COMMUNAL_21009A34-</t>
  </si>
  <si>
    <t>STADE COMMUNAL - INDUSTRIE_21001A472</t>
  </si>
  <si>
    <t>STEPHENSON (PLACE)_21015A45-</t>
  </si>
  <si>
    <t>STEURS_21014A01-</t>
  </si>
  <si>
    <t>STEYNS_21012A511</t>
  </si>
  <si>
    <t>STIENON (AVENUE)_21004E83-</t>
  </si>
  <si>
    <t>STOCKEL_21019A10-</t>
  </si>
  <si>
    <t>STOCKEL (CHAUSSEE DE)_21018A12-</t>
  </si>
  <si>
    <t>STUART MERRIL_21007A02-</t>
  </si>
  <si>
    <t>TEN REUKEN_21002A14-</t>
  </si>
  <si>
    <t>TERDELT_21015A811</t>
  </si>
  <si>
    <t>TH. BALIS (PLACE)_21002A23-</t>
  </si>
  <si>
    <t>THEUNIS PIERRE (RUE)_21015A883</t>
  </si>
  <si>
    <t>TOISON D'OR (AVENUE)_21013A51-</t>
  </si>
  <si>
    <t>TOMBERG_21018A00-</t>
  </si>
  <si>
    <t>TOUR ET TAXIS_21004D6NJ</t>
  </si>
  <si>
    <t>TOURNOI (RUE DU)_21007A75-</t>
  </si>
  <si>
    <t>TOUSSAINT_21008A31-</t>
  </si>
  <si>
    <t>TRANSVAAL_21002A10-</t>
  </si>
  <si>
    <t>TREFLE_21001A552</t>
  </si>
  <si>
    <t>TREILLE (RUE DE LA)_21009A311</t>
  </si>
  <si>
    <t>TREVES (RUE DE)_21004B13-</t>
  </si>
  <si>
    <t>TRIOMPHE (BOULEVARD DU)_21002A30-</t>
  </si>
  <si>
    <t>U.L.B._21004C61-</t>
  </si>
  <si>
    <t>ULENS_21012A672</t>
  </si>
  <si>
    <t>UNIVERSITE_21009A22-</t>
  </si>
  <si>
    <t>VAL DE SEIGNEURS_21019A14-</t>
  </si>
  <si>
    <t>VAL DUC_21002A45-</t>
  </si>
  <si>
    <t>VAL MARIA_21004F94-</t>
  </si>
  <si>
    <t>VAN BEETHOVEN_21001A43-</t>
  </si>
  <si>
    <t>VAN PAGE-NORD_21008A33-</t>
  </si>
  <si>
    <t>VAN PAGE-SUD_21008A01-</t>
  </si>
  <si>
    <t>VAN VOLXEM - PETITE INDUSTRIE_21007A52-</t>
  </si>
  <si>
    <t>VAN YSENDYCK (RUE)_21015A01-</t>
  </si>
  <si>
    <t>VANDER ELST - BIEN FAIRE_21017A512</t>
  </si>
  <si>
    <t>VANDERKINDERE_21016A80-</t>
  </si>
  <si>
    <t>VANDERLINDEN (RUE)_21015A41-</t>
  </si>
  <si>
    <t>VANHUFFEL_21011A00-</t>
  </si>
  <si>
    <t>VEEWEYDE-NORD_21001A142</t>
  </si>
  <si>
    <t>VEEWEYDE-SUD_21001A041</t>
  </si>
  <si>
    <t>VENELLES_21019A242</t>
  </si>
  <si>
    <t>VENIZELOS_21001A451</t>
  </si>
  <si>
    <t>VERREWINKEL_21016A521</t>
  </si>
  <si>
    <t>VERT CHASSEUR_21016A111</t>
  </si>
  <si>
    <t>VERVLOESEM_21018A42-</t>
  </si>
  <si>
    <t>VIEIL EVERE_21006A001</t>
  </si>
  <si>
    <t>VIEILLE HALLE AUX BLES_21004A01-</t>
  </si>
  <si>
    <t>VIGNETTE_21002A041</t>
  </si>
  <si>
    <t>VILLAS - MONT KEMMEL_21007A814</t>
  </si>
  <si>
    <t>VILLAS (AVENUE DES)_21013A41-</t>
  </si>
  <si>
    <t>VILLAS DE GANSHOREN (OUEST)_21008A220</t>
  </si>
  <si>
    <t>VILLE-ET-FORET - ELAN_21017A443</t>
  </si>
  <si>
    <t>VIVIER D'OIE_21004C65-</t>
  </si>
  <si>
    <t>VOSSEGAT-EST_21016A954</t>
  </si>
  <si>
    <t>VOSSEGAT-OUEST_21016A933</t>
  </si>
  <si>
    <t>WAELHEM (RUE)_21015A24-</t>
  </si>
  <si>
    <t>WATERMAEL (CHAUSSEE DE)_21002A25-</t>
  </si>
  <si>
    <t>WAYEZ_21001A02-</t>
  </si>
  <si>
    <t>WERY (RUE)_21009A111</t>
  </si>
  <si>
    <t>WIERTZ_21009A512</t>
  </si>
  <si>
    <t>WOLVENBERG_21016A922</t>
  </si>
  <si>
    <t>ZAVELENBERG_21003A283</t>
  </si>
  <si>
    <t>ZEECRABBE_21016A841</t>
  </si>
  <si>
    <t>ZONE RURALE_21001C6PB</t>
  </si>
  <si>
    <t>ZWARTEBEEK_21016A772</t>
  </si>
  <si>
    <t>t_oc (PB - 2023)</t>
  </si>
  <si>
    <t>t_acces (IBSA - 2024)</t>
  </si>
  <si>
    <t>FR</t>
  </si>
  <si>
    <t>NL</t>
  </si>
  <si>
    <t>EN</t>
  </si>
  <si>
    <t>Mdp</t>
  </si>
  <si>
    <t>RatioPK</t>
  </si>
  <si>
    <t>#pk</t>
  </si>
  <si>
    <t>A. DELPORTE-NOORD_21009A151</t>
  </si>
  <si>
    <t>A. DELPORTE-ZUID_21009A911</t>
  </si>
  <si>
    <t>SLACHTHUIS_21001B17-</t>
  </si>
  <si>
    <t>AD. MAXLAAN_21004A35-</t>
  </si>
  <si>
    <t>GESP - NORBERT GILLE_21001A931</t>
  </si>
  <si>
    <t>ALBERT-WIJK_21010A05-</t>
  </si>
  <si>
    <t>ALBERT I - FLATGEBOUWEN_21001B31-</t>
  </si>
  <si>
    <t>ALBERT I - BUURT_21001B321</t>
  </si>
  <si>
    <t>GROENDREEF_21003A331</t>
  </si>
  <si>
    <t>GROENDREEF - VERGOTE DOK_21004D631</t>
  </si>
  <si>
    <t>ALSEMBERG-NOORD_21016A02-</t>
  </si>
  <si>
    <t>ALSEMBERG-ZUID_21016A65-</t>
  </si>
  <si>
    <t>HOOGTEPUNT HONDERD_21007A70-</t>
  </si>
  <si>
    <t>AMAZONESTRAAT_21013A031</t>
  </si>
  <si>
    <t>AMBIORIXSQUARE-NOORD_21004B43-</t>
  </si>
  <si>
    <t>AMBIORIXSQUARE-ZUID_21004B44-</t>
  </si>
  <si>
    <t>VRIENDSCHAPSLAAN_21002A311</t>
  </si>
  <si>
    <t>OUDSTRIJDERSLAAN_21006A171</t>
  </si>
  <si>
    <t>OUDE AFSPANNING_21010A10-</t>
  </si>
  <si>
    <t>ENGELANDSTRAAT_21013A201</t>
  </si>
  <si>
    <t>ANNEESSENSPLEIN_21004A21-</t>
  </si>
  <si>
    <t>ANTWERPSE STEENWEG-NOORD_21004D62-</t>
  </si>
  <si>
    <t>ANTWERPSE STEENWEG-ZUID_21004D610</t>
  </si>
  <si>
    <t>DIKKE BEUK_21010A1AJ</t>
  </si>
  <si>
    <t>GEWIJDE BOOM_21009A041</t>
  </si>
  <si>
    <t>BOOGSCHUTTERS - FOUREZ_21011A30-</t>
  </si>
  <si>
    <t>LEGERLAAN_21005A14-</t>
  </si>
  <si>
    <t>STERREKUNDIGEN_21016A214</t>
  </si>
  <si>
    <t>DAGERAAD_21001A32-</t>
  </si>
  <si>
    <t>DE BROUCKERELAAN_21002A24-</t>
  </si>
  <si>
    <t>VOGELVANGSTLAAN_21017A212</t>
  </si>
  <si>
    <t>VERSAILLESLAAN_21004F522</t>
  </si>
  <si>
    <t>VISELAAN_21017A41-</t>
  </si>
  <si>
    <t>PAGODENLAAN_21004F511</t>
  </si>
  <si>
    <t>FRANKLIN ROOSEVELTLAAN_21004C642</t>
  </si>
  <si>
    <t>SCHALLERLAAN_21002A12-</t>
  </si>
  <si>
    <t>BARREEL_21013A40-</t>
  </si>
  <si>
    <t>BASILIEK_21011A12-</t>
  </si>
  <si>
    <t>SCHOONVERBLIJF_21016A232</t>
  </si>
  <si>
    <t>BEGIJNHOFPLEIN_21004A25-</t>
  </si>
  <si>
    <t>PIEPELINGEN_21017A230</t>
  </si>
  <si>
    <t>BERCKENDAELSTRAAT_21007A73-</t>
  </si>
  <si>
    <t>BETHLEHEMPLEIN_21013A242</t>
  </si>
  <si>
    <t>WELDOENERSPLEIN_21015A33-</t>
  </si>
  <si>
    <t>BIRMINGHAM-NOORD_21012A13-</t>
  </si>
  <si>
    <t>BIRMINGHAM-ZUID_21012A12-</t>
  </si>
  <si>
    <t>BLAESSTRAAT-CENTRUM_21004A71-</t>
  </si>
  <si>
    <t>BLAESSTRAAT-ZUID_21004A70-</t>
  </si>
  <si>
    <t>BLOKKEN SINT-VINCENTIUS_21006A03-</t>
  </si>
  <si>
    <t>BOENDAAL-WEST_21004C62-</t>
  </si>
  <si>
    <t>GOEDE LUCHT - KERN_21001C70-</t>
  </si>
  <si>
    <t>GOEDE LUCHT - TUINWIJK_21001C71-</t>
  </si>
  <si>
    <t>GOEDE HERDER_21006A094</t>
  </si>
  <si>
    <t>BIJSTAND - ZUID PALEIS_21004A03-</t>
  </si>
  <si>
    <t>BOONDAEL-NOORD_21009A301</t>
  </si>
  <si>
    <t>BOONDAEL-ZUID_21009A802</t>
  </si>
  <si>
    <t>BERKEN_21017A13-</t>
  </si>
  <si>
    <t>WOLUWELAAN_21019A01-</t>
  </si>
  <si>
    <t>HORZEL_21016A601</t>
  </si>
  <si>
    <t>BOERGONDIE_21007A101</t>
  </si>
  <si>
    <t>BEURS_21004A002</t>
  </si>
  <si>
    <t>BEURS-NOORDWEST_21004A20-</t>
  </si>
  <si>
    <t>BRABANTSTRAAT_21015A40-</t>
  </si>
  <si>
    <t>BRICHAUTSTRAAT_21015A612</t>
  </si>
  <si>
    <t>BROEK_21001A81-</t>
  </si>
  <si>
    <t>BROGNIEZ-NOORD_21001B21-</t>
  </si>
  <si>
    <t>BROGNIEZ-ZUID_21001B22-</t>
  </si>
  <si>
    <t>BRUNFAUTWIJK_21012A02-</t>
  </si>
  <si>
    <t>CAMBIER E. STRAAT_21015A36-</t>
  </si>
  <si>
    <t>UNIVERSITAIR CAMPUS_21009A2MJ</t>
  </si>
  <si>
    <t>KANAAL-NOORD_21012A732</t>
  </si>
  <si>
    <t>KANAAL-ZUID_21012A011</t>
  </si>
  <si>
    <t>KANARIELAAN_21002A22-</t>
  </si>
  <si>
    <t>KAPITEIN PIRETLAAN_21019A03-</t>
  </si>
  <si>
    <t>CAPOUILLETSTRAAT_21013A02-</t>
  </si>
  <si>
    <t>KARDINAAL LAVIGERIESTRAAT_21005A33-</t>
  </si>
  <si>
    <t>KAZERNE_21005A311</t>
  </si>
  <si>
    <t>KAZERNE_21009A922</t>
  </si>
  <si>
    <t>CENTRUM_21019A001</t>
  </si>
  <si>
    <t>CENTRUM_21012A00-</t>
  </si>
  <si>
    <t>CENTRUM_21006A011</t>
  </si>
  <si>
    <t>CENTRUM_21009A00-</t>
  </si>
  <si>
    <t>CENTRUM_21010A00-</t>
  </si>
  <si>
    <t>CENTRUM_21003A00-</t>
  </si>
  <si>
    <t>CENTRUM_21008A00-</t>
  </si>
  <si>
    <t>CENTRUM-NOORD_21002A00-</t>
  </si>
  <si>
    <t>BOSVOORDE CENTRUM_21017A000</t>
  </si>
  <si>
    <t>WATERMAAL CENTRUM_21017A501</t>
  </si>
  <si>
    <t>CENTRUM SINT-DENIJS_21007A00-</t>
  </si>
  <si>
    <t>CENTRUM-WEST_21016A901</t>
  </si>
  <si>
    <t>CENTRUM-ZUID_21002A02-</t>
  </si>
  <si>
    <t>COOVI - WOONZONE_21001A350</t>
  </si>
  <si>
    <t>KERSELARENLAAN_21015A51-</t>
  </si>
  <si>
    <t>CH. GILISQUET - ZUIDLAAN_21015A822</t>
  </si>
  <si>
    <t>RUSTPLAATS_21006A052</t>
  </si>
  <si>
    <t>KONINGSVELDSTRAAT_21005A02-</t>
  </si>
  <si>
    <t>KANSELRIJ_21018A14-</t>
  </si>
  <si>
    <t>VOGELZANG_21019A32-</t>
  </si>
  <si>
    <t>VOGELZANG_21002A441</t>
  </si>
  <si>
    <t>VOGELENZANG_21001C512</t>
  </si>
  <si>
    <t>LIEFDADIGHEID_21014A02-</t>
  </si>
  <si>
    <t>KEIZER-KAREL_21008A20-</t>
  </si>
  <si>
    <t>KEURE_21008A35-</t>
  </si>
  <si>
    <t>KASTANJE_21007A51-</t>
  </si>
  <si>
    <t>KASTELEINPLEIN-OOST_21009A451</t>
  </si>
  <si>
    <t>KASTELEINPLEIN-WEST_21009A712</t>
  </si>
  <si>
    <t>ALSEMBERGSE STEENWEG_21007A71-</t>
  </si>
  <si>
    <t>BERGENSESTEENWEG - SINT-LUKAS_21001A31-</t>
  </si>
  <si>
    <t>STEENWEG OP WATERLOO-OOST_21016A322</t>
  </si>
  <si>
    <t>STEENWEG OP WATERLOO-WEST_21016A331</t>
  </si>
  <si>
    <t>KERKHOF VAN SINT-JOOST_21015A782</t>
  </si>
  <si>
    <t>RIJKSADMIN. CENTRUM EN CONGRES_21004A3MJ</t>
  </si>
  <si>
    <t>STEENWEGWIJK_21004B2NJ</t>
  </si>
  <si>
    <t>MOOI BOS-WIJK_21019A41-</t>
  </si>
  <si>
    <t>MODELWIJK_21004E82-</t>
  </si>
  <si>
    <t>MODERNE WIJK_21003A11-</t>
  </si>
  <si>
    <t>TUINWIJK_21010A13-</t>
  </si>
  <si>
    <t>POPULIERENHOF_21018A32-</t>
  </si>
  <si>
    <t>ZONNEGAARDE_21019A02-</t>
  </si>
  <si>
    <t>ZAVELENBERGGAARDE_21003A212</t>
  </si>
  <si>
    <t>KERSENHOEK_21004F930</t>
  </si>
  <si>
    <t>BEZEMHOEK_21017A01-</t>
  </si>
  <si>
    <t>COLIGNONPLEIN_21015A00-</t>
  </si>
  <si>
    <t>SINT-MICHIELSCOLLEGE_21019A51-</t>
  </si>
  <si>
    <t>GEMEENSCHAPPEN_21018A37-</t>
  </si>
  <si>
    <t>GEMEENSCHAPPEN_21006A474</t>
  </si>
  <si>
    <t>CONGRES - STATION_21004A32-</t>
  </si>
  <si>
    <t>RAAD-NOORD_21001B20-</t>
  </si>
  <si>
    <t>RAAD-ZUID_21001B23-</t>
  </si>
  <si>
    <t>TROOSTSTRAAT_21015A32-</t>
  </si>
  <si>
    <t>STERREBEELDEN_21018A63-</t>
  </si>
  <si>
    <t>GROENE CORNICHE_21019A43-</t>
  </si>
  <si>
    <t>ST.-MICHIELSWARANDE_21005A082</t>
  </si>
  <si>
    <t>CRICKXSTRAAT_21013A422</t>
  </si>
  <si>
    <t>KROKUSSEN_21001A941</t>
  </si>
  <si>
    <t>OORLOGSKRUISENLAAN_21004F91-</t>
  </si>
  <si>
    <t>PASTOOR ARSWIJK_21007A01-</t>
  </si>
  <si>
    <t>DAILLYPLEIN_21015A53-</t>
  </si>
  <si>
    <t>DENEMARKENSTRAAT_21013A252</t>
  </si>
  <si>
    <t>DE BROQUEVILLELAAN-NOORD_21018A21-</t>
  </si>
  <si>
    <t>DE BROQUEVILLELAAN-ZUID_21018A22-</t>
  </si>
  <si>
    <t>P. DESCHANELLAAN_21015A63-</t>
  </si>
  <si>
    <t>DETHYSTRAAT_21013A13-</t>
  </si>
  <si>
    <t>TWEEKERKENSTRAAT_21004B411</t>
  </si>
  <si>
    <t>TWEESTATIONS_21001B372</t>
  </si>
  <si>
    <t>TWEE HUIZEN_21018A643</t>
  </si>
  <si>
    <t>SCHIJFSTRAAT_21004E81-</t>
  </si>
  <si>
    <t>GODDELIJKE JEZUS_21004E800</t>
  </si>
  <si>
    <t>DOBBELENBERG_21004G3MJ</t>
  </si>
  <si>
    <t>DR. ROUX_21001A441</t>
  </si>
  <si>
    <t>JACHTSTOETDREEF_21017A021</t>
  </si>
  <si>
    <t>HERTOGENDREEF_21017A041</t>
  </si>
  <si>
    <t>GELUKZALIGHEID_21006A23-</t>
  </si>
  <si>
    <t>DUBRUCQ-NOORD_21012A63-</t>
  </si>
  <si>
    <t>HERTOGSTRAAT_21019A52-</t>
  </si>
  <si>
    <t>HERTOGIN VAN BRABANT_21012A10-</t>
  </si>
  <si>
    <t>E. JACQMAINLAAN-WEST_21004A83-</t>
  </si>
  <si>
    <t>SCHEPENIJ_21016A042</t>
  </si>
  <si>
    <t>KADETTENSCHOOL_21004E14-</t>
  </si>
  <si>
    <t>MILITAIRE SCHOOL_21004B45-</t>
  </si>
  <si>
    <t>ED. DEKNOOPSTRAAT_21006A142</t>
  </si>
  <si>
    <t>EGGERICXSTRAAT_21019A04-</t>
  </si>
  <si>
    <t>EGELANTIERENLAAN_21019A30-</t>
  </si>
  <si>
    <t>ANGLICAANSE KERK_21009A542</t>
  </si>
  <si>
    <t>EM. BOCKSTAELLAAN-ZUID_21004E73-</t>
  </si>
  <si>
    <t>EM. DELVASTRAAT_21004E74-</t>
  </si>
  <si>
    <t>SMARAGDLAAN_21015A54-</t>
  </si>
  <si>
    <t>KLUIS_21009A03-</t>
  </si>
  <si>
    <t>SCHERMLAAN_21019A12-</t>
  </si>
  <si>
    <t>SPANJESTRAAT_21013A01-</t>
  </si>
  <si>
    <t>ZWARTE VIJVERS_21012A152</t>
  </si>
  <si>
    <t>ZOMER_21009A21-</t>
  </si>
  <si>
    <t>STERREPLEIN_21009A23-</t>
  </si>
  <si>
    <t>EUROPA_21018A41-</t>
  </si>
  <si>
    <t>EUROPAWIJK_21019A34-</t>
  </si>
  <si>
    <t>F. COURTENSLAAN_21015A721</t>
  </si>
  <si>
    <t>F. MOHRFELDSTRAAT_21010A121</t>
  </si>
  <si>
    <t>FAIDERSTRAAT_21013A052</t>
  </si>
  <si>
    <t>FAZANTENPARK_21019A441</t>
  </si>
  <si>
    <t>FLAGEYPLEIN_21009A101</t>
  </si>
  <si>
    <t>VRONERODE_21016A342</t>
  </si>
  <si>
    <t>WOUD_21009A82-</t>
  </si>
  <si>
    <t>VORSTSE HAARD - FAMILIE_21007A03-</t>
  </si>
  <si>
    <t>VORSTSE HAARD - MADELON_21007A04-</t>
  </si>
  <si>
    <t>HOGEBOMEN_21017A451</t>
  </si>
  <si>
    <t>STATION_21003A2MJ</t>
  </si>
  <si>
    <t>STATION_21015A101</t>
  </si>
  <si>
    <t>NOORDSTATION_21015A43-</t>
  </si>
  <si>
    <t>WEST-STATION_21012A172</t>
  </si>
  <si>
    <t>GENERAAL DE GAULLE_21009A121</t>
  </si>
  <si>
    <t>GENERAAL HENRISTRAAT_21005A10-</t>
  </si>
  <si>
    <t>GEORGES HENRILAAN_21018A20-</t>
  </si>
  <si>
    <t>GLOBE-OOST_21016A00-</t>
  </si>
  <si>
    <t>GLOBE-WEST_21016A912</t>
  </si>
  <si>
    <t>GRONDELS_21001B332</t>
  </si>
  <si>
    <t>GROTE ZAVEL_21004A14-</t>
  </si>
  <si>
    <t>GROTE BOSSTRAAT_21015A30-</t>
  </si>
  <si>
    <t>GROTE MARKT_21004A001</t>
  </si>
  <si>
    <t>GRAYSTRAAT_21009A52-</t>
  </si>
  <si>
    <t>GUIDO GEZELLESTRAAT_21015A21-</t>
  </si>
  <si>
    <t>WILLEM TELL-ZUID_21013A121</t>
  </si>
  <si>
    <t>H. EVENEPOELSTRAAT_21015A73-</t>
  </si>
  <si>
    <t>HAACHTSE STEENWEG_21014A04-</t>
  </si>
  <si>
    <t>HAREN-OOST_21004G321</t>
  </si>
  <si>
    <t>HAREN-ZUID_21004G3NJ</t>
  </si>
  <si>
    <t>HAREN-ZUIDWEST_21004G310</t>
  </si>
  <si>
    <t>HOOGVELD_21003A03-</t>
  </si>
  <si>
    <t>HOOG-EVERE_21006A201</t>
  </si>
  <si>
    <t>HAVESKERKE_21007A12-</t>
  </si>
  <si>
    <t>SCHROEFLAAN_21019A45-</t>
  </si>
  <si>
    <t>HEYDENBERG-OOST_21018A61-</t>
  </si>
  <si>
    <t>HEYDENBERG-WEST_21018A62-</t>
  </si>
  <si>
    <t>HOF TEN BERG-NOORD_21018A35-</t>
  </si>
  <si>
    <t>HOF TEN BERG-ZUID_21018A34-</t>
  </si>
  <si>
    <t>BRABANTS THUIS_21006A21-</t>
  </si>
  <si>
    <t>FRANS HOSPITAAL_21003A10-</t>
  </si>
  <si>
    <t>M.H.I. P. BRIEN_21015A272</t>
  </si>
  <si>
    <t>ZIEKENHUIS U.L.B._21001C522</t>
  </si>
  <si>
    <t>HOSPITALEN_21009A652</t>
  </si>
  <si>
    <t>HORIZONLAAN_21019A35-</t>
  </si>
  <si>
    <t>GEMEENTEHUIS_21005A00-</t>
  </si>
  <si>
    <t>GEMEENTEHUIS_21013A00-</t>
  </si>
  <si>
    <t>HOUFFALIZEPLEIN_21015A021</t>
  </si>
  <si>
    <t>HUART HAMOIRLAAN_21015A12-</t>
  </si>
  <si>
    <t>ONAFHANKELIJKHEID_21012A141</t>
  </si>
  <si>
    <t>INVALIDENLAAN_21002A511</t>
  </si>
  <si>
    <t>J. BLOCKXSTRAAT_21015A231</t>
  </si>
  <si>
    <t>J. BORDET LAAN_21006A312</t>
  </si>
  <si>
    <t>JACOBSPLEIN_21004A15-</t>
  </si>
  <si>
    <t>JACQUETSTRAAT_21011A02-</t>
  </si>
  <si>
    <t>BLOEMTUINEN_21015A71-</t>
  </si>
  <si>
    <t>JEAN STOBBAERTSLAAN_21015A35-</t>
  </si>
  <si>
    <t>JOSAPHATSTRAAT_21015A03-</t>
  </si>
  <si>
    <t>KAPELLEVELD-NOORDOOST_21018A84-</t>
  </si>
  <si>
    <t>KAPELLEVELD-ZUID_21018A81-</t>
  </si>
  <si>
    <t>DE KAT_21001A42-</t>
  </si>
  <si>
    <t>L.  DE SMET_21003A04-</t>
  </si>
  <si>
    <t>L. ERNOTTESTRAAT_21009A83-</t>
  </si>
  <si>
    <t>DE JACHT_21005A13-</t>
  </si>
  <si>
    <t>LAKENVELD_21012A60-</t>
  </si>
  <si>
    <t>LAMBEAULAAN_21018A24-</t>
  </si>
  <si>
    <t>LATINIS G. STRAAT_21015A831</t>
  </si>
  <si>
    <t>LAURA - BASILIEK_21003A02-</t>
  </si>
  <si>
    <t>DE KAT_21016A05-</t>
  </si>
  <si>
    <t>LOGIS-NOORD_21017A12-</t>
  </si>
  <si>
    <t>LOGIS-ZUID_21017A220</t>
  </si>
  <si>
    <t>LEOPOLDPARK_21004B293</t>
  </si>
  <si>
    <t>TER BRONNEN_21018A15-</t>
  </si>
  <si>
    <t>BEVRIJDERS_21012A62-</t>
  </si>
  <si>
    <t>VRIJHEIDSPLEIN_21004A33-</t>
  </si>
  <si>
    <t>LUIKENAARSSTRAAT_21009A612</t>
  </si>
  <si>
    <t>LINDE-OOST_21001A051</t>
  </si>
  <si>
    <t>LINDE-WEST_21001A152</t>
  </si>
  <si>
    <t>LINTHOUTSTRAAT_21015A52-</t>
  </si>
  <si>
    <t>L'OLIVIERSTRAAT_21015A04-</t>
  </si>
  <si>
    <t>LONDENPLEIN_21009A53-</t>
  </si>
  <si>
    <t>LANGEVELD_21016A831</t>
  </si>
  <si>
    <t>LOUIZALAAN-NOORD_21004C501</t>
  </si>
  <si>
    <t>LOUIZALAAN-NOORDOOST_21004C51-</t>
  </si>
  <si>
    <t>LOUIZALAAN-NOORDWEST_21004C52-</t>
  </si>
  <si>
    <t>LOUIZALAAN-ZUID_21004C552</t>
  </si>
  <si>
    <t>LOUIZALAAN-ZUIDOOST_21004C54-</t>
  </si>
  <si>
    <t>LOUIZALAAN-ZUIDWEST_21004C53-</t>
  </si>
  <si>
    <t>OTTERVANGER - WIENER_21017A541</t>
  </si>
  <si>
    <t>LUXEMBURG PLEIN_21009A501</t>
  </si>
  <si>
    <t>LYCEUM_21007A541</t>
  </si>
  <si>
    <t>MACHTENS-NOORD_21012A26-</t>
  </si>
  <si>
    <t>MACHTENS-ZUID_21012A23-</t>
  </si>
  <si>
    <t>MAGDALENA_21010A21-</t>
  </si>
  <si>
    <t>MAALBEEK_21005A031</t>
  </si>
  <si>
    <t>GEMEENTEHUIS_21006A13-</t>
  </si>
  <si>
    <t>ROODHUISPLEIN-ZUID_21004E72-</t>
  </si>
  <si>
    <t>MARBOTIN A. STRAAT_21015A22-</t>
  </si>
  <si>
    <t>VARKENSMARKT_21004A24-</t>
  </si>
  <si>
    <t>LENNEKE MARE_21018A82-</t>
  </si>
  <si>
    <t>MARIA-CHRISTINASTRAAT_21004E70-</t>
  </si>
  <si>
    <t>MARIE-JOSE BLOKKEN_21012A21-</t>
  </si>
  <si>
    <t>MARIE-LOUISESQUARE_21004B421</t>
  </si>
  <si>
    <t>IJSVOGEL_21017A523</t>
  </si>
  <si>
    <t>MASUIPLEIN-NORD_21004D64-</t>
  </si>
  <si>
    <t>LARIKSEN_21009A40-</t>
  </si>
  <si>
    <t>METAALSTRAAT_21013A151</t>
  </si>
  <si>
    <t>DUIZENDMETERLAAN_21019A11-</t>
  </si>
  <si>
    <t>MIMOSASLAAN_21019A33-</t>
  </si>
  <si>
    <t>MINIEMEN_21001A120</t>
  </si>
  <si>
    <t>SPIEGEL_21010A03-</t>
  </si>
  <si>
    <t>MUNT_21004A34-</t>
  </si>
  <si>
    <t>MONTENEGROSTRAAT_21007A61-</t>
  </si>
  <si>
    <t>MUSEUM_21009A02-</t>
  </si>
  <si>
    <t>MIRTEN-NOORD_21012A811</t>
  </si>
  <si>
    <t>NATIENSQUARE_21004C63-</t>
  </si>
  <si>
    <t>NEDER-HEEMBEEK-NOORD_21004F9MJ</t>
  </si>
  <si>
    <t>NEEPWIJK_21012A52-</t>
  </si>
  <si>
    <t>NEPTUNUSLAAN I_21007A239</t>
  </si>
  <si>
    <t>KAPELLEKERK_21004A04-</t>
  </si>
  <si>
    <t>O.L. VROUW VAN LOURDES_21010A04-</t>
  </si>
  <si>
    <t>O.L. VROUW VAN HET HEILIG HART_21005A11-</t>
  </si>
  <si>
    <t>NIEUWE GRAANMARKT_21004A23-</t>
  </si>
  <si>
    <t>NIEUWE BAAN-ZUID_21005A322</t>
  </si>
  <si>
    <t>OASE - PROVENCE - LANGUEDOC_21006A11-</t>
  </si>
  <si>
    <t>OPAAL_21015A50-</t>
  </si>
  <si>
    <t>ORBANSQUARE_21004B10-</t>
  </si>
  <si>
    <t>OSSEGEM_21012A24-</t>
  </si>
  <si>
    <t>P. DUPONTSTRAAT_21006A414</t>
  </si>
  <si>
    <t>P. HYMANSSTRAAT_21015A70-</t>
  </si>
  <si>
    <t>VREDELAAN_21011A10-</t>
  </si>
  <si>
    <t>PALEIZENSTRAAT_21015A421</t>
  </si>
  <si>
    <t>JUSTITIEPALEIS - SINT-PIETERS HOSPITAAL_21004A16-</t>
  </si>
  <si>
    <t>MADELIEFJESSTRAAT_21015A34-</t>
  </si>
  <si>
    <t>ALBERTPARK_21008A34-</t>
  </si>
  <si>
    <t>PARK VAN VORST_21007A783</t>
  </si>
  <si>
    <t>PRINSENPARK_21002A130</t>
  </si>
  <si>
    <t>SCHUMAN PARK_21018A311</t>
  </si>
  <si>
    <t>PARMASTRAAT_21013A11-</t>
  </si>
  <si>
    <t>VOORPLEIN_21013A101</t>
  </si>
  <si>
    <t>VOORPLEIN_21013A102</t>
  </si>
  <si>
    <t>SINT-ROCHUS VOORPLEIN_21004D600</t>
  </si>
  <si>
    <t>VADERLAND_21015A31-</t>
  </si>
  <si>
    <t>VISSERIJ_21016A44-</t>
  </si>
  <si>
    <t>VISSERIJEN_21017A624</t>
  </si>
  <si>
    <t>VISSERIJEN_21002A53-</t>
  </si>
  <si>
    <t>KLEINE ZAVEL_21004A13-</t>
  </si>
  <si>
    <t>PETITE ILE- RIVE DROITE_21001B3MJ</t>
  </si>
  <si>
    <t>KLEIN EILAND- RECHTEROEVER_21001B3MJ</t>
  </si>
  <si>
    <t>KLEIN ZWITSERLANDPLEIN_21009A20-</t>
  </si>
  <si>
    <t>PH. BAUCQSTRAAT_21005A042</t>
  </si>
  <si>
    <t>PETER BENOIT PLEIN_21004F901</t>
  </si>
  <si>
    <t>SINT-JOOST PLAATS_21014A00-</t>
  </si>
  <si>
    <t>DICHTKUNST_21001A84-</t>
  </si>
  <si>
    <t>LUTTREBRUG_21007A40-</t>
  </si>
  <si>
    <t>LUTTREBRUG-WEST_21007A41-</t>
  </si>
  <si>
    <t>PORTAELSSTRAAT_21015A13-</t>
  </si>
  <si>
    <t>NAAMSEPOORT_21009A552</t>
  </si>
  <si>
    <t>TERVURENSEPOORT - BRAFFORT_21005A21-</t>
  </si>
  <si>
    <t>PORTE DE TERVUEREN - L. DE LANTSHEERE (RUE)_21005A22-</t>
  </si>
  <si>
    <t>TERVURENSEPOORT - L. DE LANTSHEERESTRAAT_21005A22-</t>
  </si>
  <si>
    <t>TERVURENSEPOORT - TONGERENSTR._21005A20-</t>
  </si>
  <si>
    <t>POTAARDE VLAK_21003A312</t>
  </si>
  <si>
    <t>PR. ELISABETH-NOORD_21015A152</t>
  </si>
  <si>
    <t>WEIDE_21014A14-</t>
  </si>
  <si>
    <t>PROVOOST_21009A44-</t>
  </si>
  <si>
    <t>PRINS LEOPOLDSQUARE_21004E12-</t>
  </si>
  <si>
    <t>BRABANTSE PRINSEN_21017A635</t>
  </si>
  <si>
    <t>GEVANGENIS_21013A04-</t>
  </si>
  <si>
    <t>PTOLEMEUS_21016A225</t>
  </si>
  <si>
    <t>WILLEBROEKSE KAAI_21004D672</t>
  </si>
  <si>
    <t>HANDELSKAAI_21004A811</t>
  </si>
  <si>
    <t>CICEROWIJK_21006A403</t>
  </si>
  <si>
    <t>SCHILDERSWIJK_21018A512</t>
  </si>
  <si>
    <t>GROSJEANWIJK_21006A272</t>
  </si>
  <si>
    <t>INDUSTRIEWIJK_21002A372</t>
  </si>
  <si>
    <t>VIER WINDEN_21012A041</t>
  </si>
  <si>
    <t>B.R.T._21015A77-</t>
  </si>
  <si>
    <t>RAUTER-NOORD_21001A132</t>
  </si>
  <si>
    <t>RAUTER-ZUID_21001A031</t>
  </si>
  <si>
    <t>HERVORMING_21008A240</t>
  </si>
  <si>
    <t>REGENTLAAN_21004A12-</t>
  </si>
  <si>
    <t>REGIEN_21013A22-</t>
  </si>
  <si>
    <t>KONINGINNELAAN_21015A44-</t>
  </si>
  <si>
    <t>KONINGIN MARIE - HENRIETTE_21007A552</t>
  </si>
  <si>
    <t>VERZET_21001A00-</t>
  </si>
  <si>
    <t>HERZIENING-NOORD_21001B25-</t>
  </si>
  <si>
    <t>HERZIENING-ZUID_21001B241</t>
  </si>
  <si>
    <t>KRUISDAGEN_21018A72-</t>
  </si>
  <si>
    <t>KONINGSLAAN_21013A23-</t>
  </si>
  <si>
    <t>ROODEBEEK PARK_21018A60-</t>
  </si>
  <si>
    <t>ROOSENDAALSTRAAT_21007A201</t>
  </si>
  <si>
    <t>DAUW-OOST_21001B10-</t>
  </si>
  <si>
    <t>DAUW-WEST_21001B11-</t>
  </si>
  <si>
    <t>RAD_21001A332</t>
  </si>
  <si>
    <t>RAD - TUINWIJK_21001A34-</t>
  </si>
  <si>
    <t>KONINKLIJKE SINT-MARIASTRAAT_21015A05-</t>
  </si>
  <si>
    <t>KASTEEL BEYAERD_21004F922</t>
  </si>
  <si>
    <t>PASCALSTRAAT - H. SACREMENT_21004B2WJ</t>
  </si>
  <si>
    <t>SCHOTLANDSTRAAT_21013A522</t>
  </si>
  <si>
    <t>BEGONIASTRAAT_21017A534</t>
  </si>
  <si>
    <t>KOOPLIEDENSTRAAT_21004A822</t>
  </si>
  <si>
    <t>BEUKENOOTJESSTRAAT_21004F531</t>
  </si>
  <si>
    <t>WIMPELBERGSTRAAT_21004F953</t>
  </si>
  <si>
    <t>HEILIG-HART_21002A11-</t>
  </si>
  <si>
    <t>SINT-ADRIAAN_21009A33-</t>
  </si>
  <si>
    <t>SINT-ANTONIUS_21007A60-</t>
  </si>
  <si>
    <t>SINT-ANTONIUS_21005A12-</t>
  </si>
  <si>
    <t>SINT-BONIFAAS_21009A051</t>
  </si>
  <si>
    <t>SINT-ALEIDIS_21019A40-</t>
  </si>
  <si>
    <t>SINT-ANNA_21002A01-</t>
  </si>
  <si>
    <t>SINT-ANNA_21011A01-</t>
  </si>
  <si>
    <t>SINT-ELISABETH_21004G30-</t>
  </si>
  <si>
    <t>HEILIGE-FAMILIE_21018A30-</t>
  </si>
  <si>
    <t>HEILIGE FAMILIE_21015A142</t>
  </si>
  <si>
    <t>SINT-GERTRUDIS_21005A01-</t>
  </si>
  <si>
    <t>SINT-FRANCISCUS_21014A10-</t>
  </si>
  <si>
    <t>SINT-FRANCISCUS XAVERIUS_21004A02-</t>
  </si>
  <si>
    <t>SINT-JORIS_21009A41-</t>
  </si>
  <si>
    <t>SINT-JOB_21016A400</t>
  </si>
  <si>
    <t>SINT-JOZEF_21012A05-</t>
  </si>
  <si>
    <t>SINT-JULIAAN_21002A20-</t>
  </si>
  <si>
    <t>SINT-LAMBERTUS_21018A01-</t>
  </si>
  <si>
    <t>SINT-LAZARUS_21014A12-</t>
  </si>
  <si>
    <t>SINT-LUCAS_21018A87-</t>
  </si>
  <si>
    <t>SINT-MICHIELS COLLEGE_21005A15-</t>
  </si>
  <si>
    <t>SINT-PAULUS_21019A20-</t>
  </si>
  <si>
    <t>SINT-FILIPPUS_21009A90-</t>
  </si>
  <si>
    <t>SINT-THOMAS (INSTITUUT)_21004A72-</t>
  </si>
  <si>
    <t>SALOMELAAN_21019A42-</t>
  </si>
  <si>
    <t>SCHERDEMAAL_21001A51-</t>
  </si>
  <si>
    <t>SCHERDEMAAL-NOORD_21001A52-</t>
  </si>
  <si>
    <t>SCHEUT-OOST_21001A911</t>
  </si>
  <si>
    <t>SCHEUT-WEST_21001A74-</t>
  </si>
  <si>
    <t>SCHUMAN RONDPLEIN_21004B2MJ</t>
  </si>
  <si>
    <t>ZENNESTRAAT_21004A22-</t>
  </si>
  <si>
    <t>ZEVENSTERREN_21003A323</t>
  </si>
  <si>
    <t>ZEVENBUNDER_21016A943</t>
  </si>
  <si>
    <t>VOOR_21001A80-</t>
  </si>
  <si>
    <t>SLEGERSLAAN_21018A02-</t>
  </si>
  <si>
    <t>VORSTLAAN - FLATGEBOUWEN_21002A15-</t>
  </si>
  <si>
    <t>VORSTLAAN-NORD_21002A43-</t>
  </si>
  <si>
    <t>VORST-WEST_21017A240</t>
  </si>
  <si>
    <t>GEMEENTELIJK STADION_21009A34-</t>
  </si>
  <si>
    <t>GEMEENTESTADION - INDUSTRIE_21001A472</t>
  </si>
  <si>
    <t>STEPHENSONPLEIN_21015A45-</t>
  </si>
  <si>
    <t>STIJNS_21012A511</t>
  </si>
  <si>
    <t>STIENONLAAN_21004E83-</t>
  </si>
  <si>
    <t>STOKKEL_21019A10-</t>
  </si>
  <si>
    <t>STOKKELSESTEENWEG_21018A12-</t>
  </si>
  <si>
    <t>TH. BALIS PLEIN_21002A23-</t>
  </si>
  <si>
    <t>THEUNIS PIERRE STRAAT_21015A883</t>
  </si>
  <si>
    <t>GULDENVLIESLAAN_21013A51-</t>
  </si>
  <si>
    <t>TURN EN TAXI_21004D6NJ</t>
  </si>
  <si>
    <t>STEEKSPELSTRAAT_21007A75-</t>
  </si>
  <si>
    <t>KLAVER_21001A552</t>
  </si>
  <si>
    <t>WIJNSTOKSTRAAT_21009A311</t>
  </si>
  <si>
    <t>TRIERSTRAAT_21004B13-</t>
  </si>
  <si>
    <t>TRIOMFLAAN_21002A30-</t>
  </si>
  <si>
    <t>V.U.B._21004C61-</t>
  </si>
  <si>
    <t>HOGESCHOOL_21009A22-</t>
  </si>
  <si>
    <t>HERENDAL_21019A14-</t>
  </si>
  <si>
    <t>HERTOGENDAL_21002A45-</t>
  </si>
  <si>
    <t>MARIENDAAL_21004F94-</t>
  </si>
  <si>
    <t>VAN PAGE-NOORD_21008A33-</t>
  </si>
  <si>
    <t>VAN PAGE-ZUID_21008A01-</t>
  </si>
  <si>
    <t>VAN VOLXEM - KLEIN INDUSTRIE_21007A52-</t>
  </si>
  <si>
    <t>VAN YSENDYCKSTRAAT_21015A01-</t>
  </si>
  <si>
    <t>VANDER ELST - WELDOENSTRAAT_21017A512</t>
  </si>
  <si>
    <t>VANDERLINDENSTRAAT_21015A41-</t>
  </si>
  <si>
    <t>VEEWEIDE-NOORD_21001A142</t>
  </si>
  <si>
    <t>VEEWEIDE-ZUID_21001A041</t>
  </si>
  <si>
    <t>DREVEKENS_21019A242</t>
  </si>
  <si>
    <t>GROENE JAGER_21016A111</t>
  </si>
  <si>
    <t>OUD EVERE_21006A001</t>
  </si>
  <si>
    <t>OUD KORENHUIS_21004A01-</t>
  </si>
  <si>
    <t>KLEINE WIJNGAARD_21002A041</t>
  </si>
  <si>
    <t>VILLAS - KEMMELBERG_21007A814</t>
  </si>
  <si>
    <t>VILLALAAN_21013A41-</t>
  </si>
  <si>
    <t>VILLAS VAN GANSHOREN (WEST)_21008A220</t>
  </si>
  <si>
    <t>VILLE-ET-FORET - ELAND_21017A443</t>
  </si>
  <si>
    <t>DIESDELLE_21004C65-</t>
  </si>
  <si>
    <t>VOSSEGAT-OOST_21016A954</t>
  </si>
  <si>
    <t>VOSSEGAT-WEST_21016A933</t>
  </si>
  <si>
    <t>WAELHEMSTRAAT_21015A24-</t>
  </si>
  <si>
    <t>WATERMAALSE STEENWEG_21002A25-</t>
  </si>
  <si>
    <t>WERYSTRAAT_21009A111</t>
  </si>
  <si>
    <t>PLATTELAND_21001C6PB</t>
  </si>
  <si>
    <t>←</t>
  </si>
  <si>
    <t>NOK: at least 323 bicycle spaces are missing</t>
  </si>
  <si>
    <t>NOK: er ontbreken minstens 323 fietsplaatsen</t>
  </si>
  <si>
    <t>t_sect. (Statbel- 2024)</t>
  </si>
  <si>
    <t>V1.01</t>
  </si>
  <si>
    <t>Date</t>
  </si>
  <si>
    <t>Release Notes</t>
  </si>
  <si>
    <t>V1.00</t>
  </si>
  <si>
    <t>- Initial version</t>
  </si>
  <si>
    <t>Version</t>
  </si>
  <si>
    <t>Id_FR</t>
  </si>
  <si>
    <t>Id_NL</t>
  </si>
  <si>
    <t>AVENUE JEAN DE BOLOGNE_21004E201</t>
  </si>
  <si>
    <t>JEAN DE BOLOGNELAAN_21004E201</t>
  </si>
  <si>
    <t>DE MEYSSE (AVENUE)_21004E233</t>
  </si>
  <si>
    <t>MEISESELAAN_21004E233</t>
  </si>
  <si>
    <t>MUTSAARD (AVENUE)_21004E222</t>
  </si>
  <si>
    <t>MUTSAARDLAAN_21004E222</t>
  </si>
  <si>
    <t>PARVIS NOTRE DAME_21004E101</t>
  </si>
  <si>
    <t>ONZE-LIEVE-VROUWVOORPLEIN_21004E101</t>
  </si>
  <si>
    <t>RUE DE WAND_21004E211</t>
  </si>
  <si>
    <t>WANDSTRAAT_21004E211</t>
  </si>
  <si>
    <t>RUE DES CHRYSANTHEMES_21004E112</t>
  </si>
  <si>
    <t>CHRYSANTENSTRAAT_21004E112</t>
  </si>
  <si>
    <t>SACRE-COEUR_21004E130</t>
  </si>
  <si>
    <t>HEILIG-HART_21004E130</t>
  </si>
  <si>
    <t>- correction of the statistical sector's names
- integration of Statbel 2024 data
- recalculation of the motorisation rate (t_sect.)
- recalculation of regional motorisation rate (54%)
- recalculation of the linear correlation between accessibility and motorisation (t_acces=0.0281*t_sect.-0.446)
- recalculation of the motorisation rate adjusted for accessibility (t_acces)
- recalculation of the theoretical number of parking spaces per housing (t_target)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</si>
</sst>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scheme val="minor"/>
    </font>
    <font>
      <b/>
      <sz val="9.5"/>
      <color rgb="FFFFFFFF"/>
      <name val="Arial"/>
      <family val="2"/>
    </font>
    <font>
      <b/>
      <sz val="11"/>
      <color theme="1"/>
      <name val="Calibri"/>
      <family val="2"/>
      <scheme val="minor"/>
    </font>
    <font>
      <u/>
      <sz val="11"/>
      <color theme="10"/>
      <name val="Calibri"/>
      <family val="2"/>
      <scheme val="minor"/>
    </font>
    <font>
      <b/>
      <i/>
      <sz val="11"/>
      <color theme="1"/>
      <name val="Calibri"/>
      <family val="2"/>
      <scheme val="minor"/>
    </font>
    <font>
      <sz val="9"/>
      <color theme="1"/>
      <name val="Calibri"/>
      <family val="2"/>
      <scheme val="minor"/>
    </font>
    <font>
      <sz val="11"/>
      <color rgb="FF242424"/>
      <name val="Consolas"/>
      <family val="3"/>
    </font>
    <font>
      <b/>
      <sz val="11"/>
      <color rgb="FF000000"/>
      <name val="Calibri"/>
      <family val="2"/>
    </font>
    <font>
      <b/>
      <sz val="11"/>
      <color rgb="FF000000"/>
      <name val="Calibri"/>
      <family val="2"/>
      <scheme val="minor"/>
    </font>
    <font>
      <b/>
      <sz val="12"/>
      <color theme="0"/>
      <name val="Calibri"/>
      <family val="2"/>
      <scheme val="minor"/>
    </font>
    <font>
      <i/>
      <sz val="11"/>
      <color theme="1"/>
      <name val="Calibri"/>
      <family val="2"/>
      <scheme val="minor"/>
    </font>
    <font>
      <b/>
      <sz val="24"/>
      <color theme="0"/>
      <name val="Calibri"/>
      <family val="2"/>
      <scheme val="minor"/>
    </font>
    <font>
      <i/>
      <u/>
      <sz val="11"/>
      <color theme="10"/>
      <name val="Calibri"/>
      <family val="2"/>
      <scheme val="minor"/>
    </font>
    <font>
      <sz val="8"/>
      <name val="Calibri"/>
      <family val="2"/>
      <scheme val="minor"/>
    </font>
  </fonts>
  <fills count="7">
    <fill>
      <patternFill patternType="none"/>
    </fill>
    <fill>
      <patternFill patternType="gray125"/>
    </fill>
    <fill>
      <patternFill patternType="solid">
        <fgColor rgb="FF0070C0"/>
        <bgColor indexed="64"/>
      </patternFill>
    </fill>
    <fill>
      <patternFill patternType="solid">
        <fgColor theme="2"/>
        <bgColor indexed="64"/>
      </patternFill>
    </fill>
    <fill>
      <patternFill patternType="solid">
        <fgColor theme="9"/>
        <bgColor indexed="64"/>
      </patternFill>
    </fill>
    <fill>
      <patternFill patternType="solid">
        <fgColor theme="4" tint="0.79998168889431442"/>
        <bgColor indexed="64"/>
      </patternFill>
    </fill>
    <fill>
      <patternFill patternType="solid">
        <fgColor theme="5"/>
        <bgColor indexed="64"/>
      </patternFill>
    </fill>
  </fills>
  <borders count="56">
    <border>
      <left/>
      <right/>
      <top/>
      <bottom/>
      <diagonal/>
    </border>
    <border>
      <left style="thin">
        <color rgb="FFB0B7BB"/>
      </left>
      <right style="thin">
        <color rgb="FFB0B7BB"/>
      </right>
      <top style="thin">
        <color rgb="FFB0B7BB"/>
      </top>
      <bottom style="thin">
        <color rgb="FFB0B7BB"/>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right style="thin">
        <color rgb="FFB0B7BB"/>
      </right>
      <top style="thin">
        <color rgb="FFB0B7BB"/>
      </top>
      <bottom style="thin">
        <color rgb="FFB0B7BB"/>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style="medium">
        <color indexed="64"/>
      </right>
      <top style="thin">
        <color rgb="FF000000"/>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thin">
        <color rgb="FF000000"/>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4">
    <xf numFmtId="0" fontId="0" fillId="0" borderId="0"/>
    <xf numFmtId="9" fontId="1"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121">
    <xf numFmtId="0" fontId="0" fillId="0" borderId="0" xfId="0"/>
    <xf numFmtId="0" fontId="2" fillId="2" borderId="1" xfId="0" applyFont="1" applyFill="1" applyBorder="1" applyAlignment="1">
      <alignment horizontal="left"/>
    </xf>
    <xf numFmtId="0" fontId="4" fillId="0" borderId="0" xfId="2" applyBorder="1" applyAlignment="1" applyProtection="1">
      <alignment wrapText="1"/>
    </xf>
    <xf numFmtId="0" fontId="3" fillId="0" borderId="7" xfId="0" applyFont="1" applyBorder="1" applyProtection="1"/>
    <xf numFmtId="0" fontId="0" fillId="0" borderId="7" xfId="0" applyBorder="1" applyProtection="1"/>
    <xf numFmtId="0" fontId="0" fillId="0" borderId="0" xfId="0" applyProtection="1"/>
    <xf numFmtId="0" fontId="3" fillId="3" borderId="10" xfId="0" applyFont="1" applyFill="1" applyBorder="1" applyAlignment="1" applyProtection="1">
      <alignment horizontal="center" wrapText="1"/>
    </xf>
    <xf numFmtId="0" fontId="3" fillId="3" borderId="17" xfId="0" applyFont="1" applyFill="1" applyBorder="1" applyAlignment="1" applyProtection="1">
      <alignment horizontal="center"/>
    </xf>
    <xf numFmtId="9" fontId="0" fillId="0" borderId="12" xfId="0" applyNumberFormat="1" applyBorder="1" applyAlignment="1" applyProtection="1">
      <alignment horizontal="center" wrapText="1"/>
    </xf>
    <xf numFmtId="9" fontId="7" fillId="0" borderId="13" xfId="0" applyNumberFormat="1" applyFont="1" applyBorder="1" applyAlignment="1" applyProtection="1">
      <alignment horizontal="center"/>
    </xf>
    <xf numFmtId="9" fontId="7" fillId="0" borderId="14" xfId="0" applyNumberFormat="1" applyFont="1" applyBorder="1" applyAlignment="1" applyProtection="1">
      <alignment horizontal="center"/>
    </xf>
    <xf numFmtId="0" fontId="3" fillId="0" borderId="2" xfId="0" applyFont="1" applyBorder="1" applyProtection="1"/>
    <xf numFmtId="0" fontId="0" fillId="0" borderId="3" xfId="0" applyBorder="1" applyAlignment="1" applyProtection="1">
      <alignment wrapText="1"/>
    </xf>
    <xf numFmtId="2" fontId="7" fillId="0" borderId="26" xfId="0" applyNumberFormat="1" applyFont="1" applyBorder="1" applyAlignment="1" applyProtection="1">
      <alignment horizontal="center"/>
    </xf>
    <xf numFmtId="0" fontId="0" fillId="0" borderId="28" xfId="0" applyBorder="1" applyAlignment="1" applyProtection="1">
      <alignment wrapText="1"/>
    </xf>
    <xf numFmtId="0" fontId="4" fillId="0" borderId="28" xfId="2" applyBorder="1" applyAlignment="1" applyProtection="1">
      <alignment wrapText="1"/>
    </xf>
    <xf numFmtId="0" fontId="0" fillId="0" borderId="28" xfId="0" applyBorder="1" applyProtection="1"/>
    <xf numFmtId="0" fontId="0" fillId="0" borderId="29" xfId="0" applyBorder="1" applyAlignment="1" applyProtection="1">
      <alignment wrapText="1"/>
    </xf>
    <xf numFmtId="0" fontId="4" fillId="0" borderId="30" xfId="2" applyBorder="1" applyAlignment="1" applyProtection="1">
      <alignment wrapText="1"/>
    </xf>
    <xf numFmtId="0" fontId="0" fillId="0" borderId="30" xfId="0" applyBorder="1" applyProtection="1"/>
    <xf numFmtId="0" fontId="2" fillId="2" borderId="27" xfId="0" applyFont="1" applyFill="1" applyBorder="1" applyAlignment="1" applyProtection="1">
      <alignment horizontal="left"/>
    </xf>
    <xf numFmtId="0" fontId="2" fillId="2" borderId="1" xfId="0" applyFont="1" applyFill="1" applyBorder="1" applyAlignment="1" applyProtection="1">
      <alignment horizontal="left"/>
    </xf>
    <xf numFmtId="0" fontId="0" fillId="0" borderId="22" xfId="0" applyBorder="1" applyProtection="1"/>
    <xf numFmtId="0" fontId="0" fillId="0" borderId="22" xfId="0" applyFill="1" applyBorder="1" applyAlignment="1" applyProtection="1">
      <alignment horizontal="center" wrapText="1"/>
    </xf>
    <xf numFmtId="0" fontId="0" fillId="0" borderId="0" xfId="0" applyBorder="1" applyProtection="1"/>
    <xf numFmtId="0" fontId="4" fillId="0" borderId="31" xfId="2" applyBorder="1" applyAlignment="1" applyProtection="1">
      <alignment wrapText="1"/>
    </xf>
    <xf numFmtId="0" fontId="0" fillId="0" borderId="31" xfId="0" applyBorder="1" applyProtection="1"/>
    <xf numFmtId="0" fontId="3" fillId="0" borderId="3" xfId="0" applyFont="1" applyBorder="1" applyAlignment="1" applyProtection="1">
      <alignment wrapText="1"/>
    </xf>
    <xf numFmtId="0" fontId="3" fillId="0" borderId="21" xfId="0" applyFont="1" applyBorder="1" applyProtection="1"/>
    <xf numFmtId="0" fontId="0" fillId="0" borderId="0" xfId="0" applyBorder="1" applyAlignment="1" applyProtection="1">
      <alignment wrapText="1"/>
    </xf>
    <xf numFmtId="0" fontId="0" fillId="0" borderId="22" xfId="0" applyBorder="1" applyAlignment="1" applyProtection="1">
      <alignment wrapText="1"/>
    </xf>
    <xf numFmtId="0" fontId="3" fillId="0" borderId="25" xfId="0" applyFont="1" applyBorder="1" applyAlignment="1" applyProtection="1">
      <alignment vertical="center"/>
    </xf>
    <xf numFmtId="0" fontId="8" fillId="0" borderId="26" xfId="0" applyFont="1" applyBorder="1" applyProtection="1"/>
    <xf numFmtId="0" fontId="3" fillId="0" borderId="26" xfId="0" applyFont="1" applyBorder="1" applyAlignment="1" applyProtection="1">
      <alignment vertical="center"/>
    </xf>
    <xf numFmtId="0" fontId="3" fillId="0" borderId="21" xfId="0" applyFont="1" applyBorder="1" applyAlignment="1" applyProtection="1">
      <alignment vertical="center" wrapText="1"/>
    </xf>
    <xf numFmtId="0" fontId="5" fillId="0" borderId="2" xfId="0" applyFont="1" applyFill="1" applyBorder="1" applyProtection="1"/>
    <xf numFmtId="0" fontId="11" fillId="0" borderId="3" xfId="0" applyFont="1" applyBorder="1" applyProtection="1"/>
    <xf numFmtId="0" fontId="5" fillId="0" borderId="7" xfId="0" applyFont="1" applyFill="1" applyBorder="1" applyProtection="1"/>
    <xf numFmtId="0" fontId="11" fillId="0" borderId="0" xfId="0" applyFont="1" applyBorder="1" applyProtection="1"/>
    <xf numFmtId="0" fontId="5" fillId="0" borderId="21" xfId="0" applyFont="1" applyFill="1" applyBorder="1" applyProtection="1"/>
    <xf numFmtId="0" fontId="11" fillId="0" borderId="22" xfId="0" applyFont="1" applyBorder="1" applyProtection="1"/>
    <xf numFmtId="0" fontId="12" fillId="4" borderId="10" xfId="0" applyFont="1" applyFill="1" applyBorder="1" applyAlignment="1" applyProtection="1">
      <alignment horizontal="center" vertical="center" wrapText="1"/>
    </xf>
    <xf numFmtId="0" fontId="10" fillId="0" borderId="23" xfId="0" applyFont="1" applyFill="1" applyBorder="1" applyAlignment="1" applyProtection="1">
      <alignment horizontal="center" vertical="center" wrapText="1"/>
    </xf>
    <xf numFmtId="0" fontId="0" fillId="0" borderId="3" xfId="0" applyBorder="1" applyProtection="1"/>
    <xf numFmtId="9" fontId="0" fillId="0" borderId="34" xfId="0" applyNumberFormat="1" applyBorder="1" applyAlignment="1" applyProtection="1">
      <alignment horizontal="center" wrapText="1"/>
    </xf>
    <xf numFmtId="9" fontId="7" fillId="0" borderId="35" xfId="0" applyNumberFormat="1" applyFont="1" applyBorder="1" applyAlignment="1" applyProtection="1">
      <alignment horizontal="center"/>
    </xf>
    <xf numFmtId="2" fontId="7" fillId="0" borderId="37" xfId="0" applyNumberFormat="1" applyFont="1" applyBorder="1" applyAlignment="1" applyProtection="1">
      <alignment horizontal="center"/>
    </xf>
    <xf numFmtId="0" fontId="5" fillId="3" borderId="2" xfId="0" applyFont="1" applyFill="1" applyBorder="1" applyAlignment="1" applyProtection="1">
      <alignment horizontal="center" wrapText="1"/>
    </xf>
    <xf numFmtId="0" fontId="5" fillId="3" borderId="2" xfId="0" applyFont="1" applyFill="1" applyBorder="1" applyAlignment="1" applyProtection="1">
      <alignment horizontal="center"/>
    </xf>
    <xf numFmtId="0" fontId="5" fillId="3" borderId="38" xfId="0" applyFont="1" applyFill="1" applyBorder="1" applyAlignment="1" applyProtection="1">
      <alignment horizontal="center"/>
    </xf>
    <xf numFmtId="9" fontId="0" fillId="0" borderId="11" xfId="0" applyNumberFormat="1" applyBorder="1" applyAlignment="1" applyProtection="1">
      <alignment horizontal="center" wrapText="1"/>
    </xf>
    <xf numFmtId="2" fontId="7" fillId="0" borderId="39" xfId="0" applyNumberFormat="1" applyFont="1" applyBorder="1" applyAlignment="1" applyProtection="1">
      <alignment horizontal="center"/>
    </xf>
    <xf numFmtId="0" fontId="0" fillId="0" borderId="0" xfId="0" applyAlignment="1" applyProtection="1">
      <alignment horizontal="center"/>
    </xf>
    <xf numFmtId="0" fontId="0" fillId="0" borderId="0" xfId="0" applyAlignment="1" applyProtection="1">
      <alignment vertical="center" wrapText="1"/>
    </xf>
    <xf numFmtId="0" fontId="12" fillId="6" borderId="0" xfId="0" applyFont="1" applyFill="1" applyAlignment="1" applyProtection="1">
      <alignment horizontal="center" vertical="center" wrapText="1"/>
      <protection locked="0"/>
    </xf>
    <xf numFmtId="0" fontId="0" fillId="0" borderId="28" xfId="0" applyFill="1" applyBorder="1" applyAlignment="1" applyProtection="1"/>
    <xf numFmtId="0" fontId="0" fillId="0" borderId="29" xfId="0" applyBorder="1" applyProtection="1"/>
    <xf numFmtId="0" fontId="0" fillId="0" borderId="30" xfId="0" applyFill="1" applyBorder="1" applyAlignment="1" applyProtection="1"/>
    <xf numFmtId="0" fontId="3" fillId="0" borderId="9" xfId="0" applyFont="1" applyBorder="1" applyAlignment="1" applyProtection="1">
      <alignment horizontal="center"/>
    </xf>
    <xf numFmtId="9" fontId="6" fillId="0" borderId="10" xfId="0" applyNumberFormat="1" applyFont="1" applyBorder="1" applyAlignment="1" applyProtection="1">
      <alignment horizontal="center" vertical="center" wrapText="1"/>
    </xf>
    <xf numFmtId="0" fontId="0" fillId="0" borderId="23" xfId="0" applyBorder="1" applyAlignment="1" applyProtection="1">
      <alignment vertical="center"/>
    </xf>
    <xf numFmtId="9" fontId="0" fillId="0" borderId="10" xfId="0" applyNumberFormat="1" applyFont="1" applyBorder="1" applyAlignment="1" applyProtection="1">
      <alignment horizontal="center" vertical="center" wrapText="1"/>
    </xf>
    <xf numFmtId="0" fontId="3" fillId="0" borderId="24" xfId="0" applyFont="1" applyBorder="1" applyAlignment="1" applyProtection="1">
      <alignment horizontal="center" vertical="center" wrapText="1"/>
    </xf>
    <xf numFmtId="0" fontId="3" fillId="0" borderId="0" xfId="0" applyFont="1" applyBorder="1" applyAlignment="1" applyProtection="1">
      <alignment wrapText="1"/>
    </xf>
    <xf numFmtId="0" fontId="13" fillId="0" borderId="4" xfId="3" applyFont="1" applyBorder="1" applyAlignment="1" applyProtection="1">
      <alignment horizontal="center"/>
    </xf>
    <xf numFmtId="0" fontId="13" fillId="0" borderId="9" xfId="3" applyFont="1" applyBorder="1" applyAlignment="1" applyProtection="1">
      <alignment horizontal="center"/>
    </xf>
    <xf numFmtId="0" fontId="13" fillId="0" borderId="20" xfId="3" applyFont="1" applyBorder="1" applyAlignment="1" applyProtection="1">
      <alignment horizontal="center"/>
    </xf>
    <xf numFmtId="0" fontId="4" fillId="0" borderId="0" xfId="3" applyProtection="1"/>
    <xf numFmtId="0" fontId="0" fillId="0" borderId="45" xfId="0" applyBorder="1" applyProtection="1"/>
    <xf numFmtId="0" fontId="0" fillId="0" borderId="50" xfId="0" applyBorder="1" applyProtection="1"/>
    <xf numFmtId="0" fontId="0" fillId="0" borderId="51" xfId="0" applyFill="1" applyBorder="1" applyAlignment="1" applyProtection="1"/>
    <xf numFmtId="0" fontId="0" fillId="0" borderId="52" xfId="0" applyFill="1" applyBorder="1" applyAlignment="1" applyProtection="1"/>
    <xf numFmtId="0" fontId="0" fillId="0" borderId="0" xfId="0" applyAlignment="1" applyProtection="1">
      <alignment horizontal="right"/>
    </xf>
    <xf numFmtId="0" fontId="0" fillId="0" borderId="0" xfId="0" applyAlignment="1">
      <alignment horizontal="right" vertical="center" indent="1"/>
    </xf>
    <xf numFmtId="0" fontId="0" fillId="5" borderId="32" xfId="0" applyFill="1" applyBorder="1" applyAlignment="1" applyProtection="1">
      <alignment horizontal="center"/>
      <protection locked="0"/>
    </xf>
    <xf numFmtId="0" fontId="0" fillId="0" borderId="54" xfId="0" applyFill="1" applyBorder="1" applyAlignment="1" applyProtection="1">
      <alignment horizontal="center"/>
      <protection locked="0"/>
    </xf>
    <xf numFmtId="9" fontId="1" fillId="0" borderId="5" xfId="1" applyFont="1" applyFill="1" applyBorder="1" applyAlignment="1" applyProtection="1">
      <alignment horizontal="center" vertical="center"/>
    </xf>
    <xf numFmtId="9" fontId="0" fillId="0" borderId="6" xfId="1" applyFont="1" applyFill="1" applyBorder="1" applyAlignment="1" applyProtection="1">
      <alignment horizontal="center" vertical="center"/>
    </xf>
    <xf numFmtId="9" fontId="0" fillId="0" borderId="6" xfId="0" applyNumberFormat="1" applyFont="1" applyFill="1" applyBorder="1" applyAlignment="1" applyProtection="1">
      <alignment horizontal="center" vertical="center"/>
    </xf>
    <xf numFmtId="9" fontId="0" fillId="0" borderId="8" xfId="0" applyNumberFormat="1" applyBorder="1" applyAlignment="1" applyProtection="1">
      <alignment horizontal="center"/>
    </xf>
    <xf numFmtId="9" fontId="0" fillId="0" borderId="9" xfId="0" applyNumberFormat="1" applyBorder="1" applyAlignment="1" applyProtection="1">
      <alignment horizontal="center" wrapText="1"/>
    </xf>
    <xf numFmtId="0" fontId="3" fillId="0" borderId="17" xfId="0" applyFont="1" applyBorder="1" applyAlignment="1" applyProtection="1">
      <alignment horizontal="center" vertical="center" wrapText="1"/>
    </xf>
    <xf numFmtId="0" fontId="0" fillId="0" borderId="4" xfId="0" applyBorder="1" applyAlignment="1" applyProtection="1">
      <alignment horizontal="center"/>
    </xf>
    <xf numFmtId="0" fontId="0" fillId="0" borderId="9" xfId="0" applyBorder="1" applyAlignment="1" applyProtection="1">
      <alignment horizontal="center"/>
    </xf>
    <xf numFmtId="0" fontId="0" fillId="0" borderId="20" xfId="0" applyBorder="1" applyAlignment="1" applyProtection="1">
      <alignment horizontal="center"/>
    </xf>
    <xf numFmtId="0" fontId="3" fillId="0" borderId="0" xfId="0" applyFont="1" applyAlignment="1" applyProtection="1">
      <alignment horizontal="center"/>
    </xf>
    <xf numFmtId="0" fontId="0" fillId="5" borderId="53" xfId="0" applyFill="1" applyBorder="1" applyAlignment="1" applyProtection="1">
      <alignment horizontal="right"/>
      <protection locked="0"/>
    </xf>
    <xf numFmtId="0" fontId="3" fillId="5" borderId="6" xfId="0" applyFont="1" applyFill="1" applyBorder="1" applyAlignment="1" applyProtection="1">
      <alignment horizontal="right"/>
      <protection locked="0"/>
    </xf>
    <xf numFmtId="0" fontId="3" fillId="5" borderId="32" xfId="0" applyFont="1" applyFill="1" applyBorder="1" applyAlignment="1" applyProtection="1">
      <alignment horizontal="right"/>
      <protection locked="0"/>
    </xf>
    <xf numFmtId="0" fontId="0" fillId="5" borderId="15" xfId="0" applyFill="1" applyBorder="1" applyAlignment="1" applyProtection="1">
      <alignment horizontal="right"/>
      <protection locked="0"/>
    </xf>
    <xf numFmtId="0" fontId="0" fillId="5" borderId="16" xfId="0" applyFill="1" applyBorder="1" applyAlignment="1" applyProtection="1">
      <alignment horizontal="right"/>
      <protection locked="0"/>
    </xf>
    <xf numFmtId="0" fontId="0" fillId="5" borderId="36" xfId="0" applyFill="1" applyBorder="1" applyAlignment="1" applyProtection="1">
      <alignment horizontal="right"/>
      <protection locked="0"/>
    </xf>
    <xf numFmtId="0" fontId="0" fillId="0" borderId="55" xfId="0" applyFill="1" applyBorder="1" applyAlignment="1" applyProtection="1">
      <alignment horizontal="left"/>
      <protection locked="0"/>
    </xf>
    <xf numFmtId="2" fontId="0" fillId="0" borderId="0" xfId="0" applyNumberFormat="1" applyProtection="1"/>
    <xf numFmtId="9" fontId="9" fillId="0" borderId="33" xfId="0" applyNumberFormat="1" applyFont="1" applyFill="1" applyBorder="1" applyAlignment="1" applyProtection="1">
      <alignment horizontal="center" wrapText="1"/>
    </xf>
    <xf numFmtId="0" fontId="0" fillId="0" borderId="0" xfId="0" applyFill="1" applyProtection="1"/>
    <xf numFmtId="9" fontId="0" fillId="0" borderId="18" xfId="0" applyNumberFormat="1" applyFill="1" applyBorder="1" applyAlignment="1" applyProtection="1">
      <alignment horizontal="center"/>
    </xf>
    <xf numFmtId="9" fontId="0" fillId="0" borderId="18" xfId="1" applyFont="1" applyFill="1" applyBorder="1" applyAlignment="1" applyProtection="1">
      <alignment horizontal="center"/>
    </xf>
    <xf numFmtId="2" fontId="0" fillId="0" borderId="19" xfId="0" applyNumberFormat="1" applyFill="1" applyBorder="1" applyAlignment="1" applyProtection="1">
      <alignment horizontal="center"/>
    </xf>
    <xf numFmtId="2" fontId="0" fillId="0" borderId="19" xfId="0" applyNumberFormat="1" applyFill="1" applyBorder="1" applyAlignment="1" applyProtection="1">
      <alignment horizontal="center" wrapText="1"/>
    </xf>
    <xf numFmtId="0" fontId="0" fillId="5" borderId="20" xfId="0" applyFill="1" applyBorder="1" applyAlignment="1" applyProtection="1">
      <alignment horizontal="center" vertical="center" wrapText="1"/>
      <protection locked="0"/>
    </xf>
    <xf numFmtId="0" fontId="0" fillId="0" borderId="0" xfId="0" applyAlignment="1">
      <alignment vertical="center"/>
    </xf>
    <xf numFmtId="0" fontId="0" fillId="0" borderId="0" xfId="0" quotePrefix="1" applyAlignment="1">
      <alignment vertical="center" wrapText="1"/>
    </xf>
    <xf numFmtId="0" fontId="3" fillId="0" borderId="0" xfId="0" applyFont="1"/>
    <xf numFmtId="14" fontId="0" fillId="0" borderId="0" xfId="0" applyNumberFormat="1" applyAlignment="1">
      <alignment horizontal="center" vertical="center"/>
    </xf>
    <xf numFmtId="0" fontId="3" fillId="0" borderId="0" xfId="0" applyFont="1" applyAlignment="1">
      <alignment horizontal="center"/>
    </xf>
    <xf numFmtId="0" fontId="0" fillId="0" borderId="0" xfId="0" applyBorder="1"/>
    <xf numFmtId="0" fontId="3" fillId="0" borderId="44" xfId="0" applyFont="1" applyBorder="1" applyAlignment="1" applyProtection="1">
      <alignment horizontal="left"/>
    </xf>
    <xf numFmtId="0" fontId="3" fillId="0" borderId="45" xfId="0" applyFont="1" applyBorder="1" applyAlignment="1" applyProtection="1">
      <alignment horizontal="left"/>
    </xf>
    <xf numFmtId="0" fontId="3" fillId="0" borderId="42" xfId="0" applyFont="1" applyBorder="1" applyAlignment="1" applyProtection="1">
      <alignment horizontal="left"/>
    </xf>
    <xf numFmtId="0" fontId="3" fillId="0" borderId="43" xfId="0" applyFont="1" applyBorder="1" applyAlignment="1" applyProtection="1">
      <alignment horizontal="left"/>
    </xf>
    <xf numFmtId="0" fontId="3" fillId="0" borderId="2" xfId="0" applyFont="1" applyBorder="1" applyAlignment="1" applyProtection="1">
      <alignment horizontal="left"/>
    </xf>
    <xf numFmtId="0" fontId="3" fillId="0" borderId="46" xfId="0" applyFont="1" applyBorder="1" applyAlignment="1" applyProtection="1">
      <alignment horizontal="left"/>
    </xf>
    <xf numFmtId="0" fontId="3" fillId="0" borderId="10" xfId="0" applyFont="1" applyBorder="1" applyAlignment="1" applyProtection="1">
      <alignment horizontal="left"/>
    </xf>
    <xf numFmtId="0" fontId="3" fillId="0" borderId="23" xfId="0" applyFont="1" applyBorder="1" applyAlignment="1" applyProtection="1">
      <alignment horizontal="left"/>
    </xf>
    <xf numFmtId="0" fontId="3" fillId="0" borderId="21" xfId="0" applyFont="1" applyBorder="1" applyAlignment="1" applyProtection="1">
      <alignment horizontal="left" vertical="center"/>
    </xf>
    <xf numFmtId="0" fontId="3" fillId="0" borderId="47" xfId="0" applyFont="1" applyBorder="1" applyAlignment="1" applyProtection="1">
      <alignment horizontal="left" vertical="center"/>
    </xf>
    <xf numFmtId="0" fontId="3" fillId="0" borderId="40" xfId="0" applyFont="1" applyBorder="1" applyAlignment="1" applyProtection="1">
      <alignment horizontal="left"/>
    </xf>
    <xf numFmtId="0" fontId="3" fillId="0" borderId="41" xfId="0" applyFont="1" applyBorder="1" applyAlignment="1" applyProtection="1">
      <alignment horizontal="left"/>
    </xf>
    <xf numFmtId="0" fontId="0" fillId="0" borderId="48" xfId="0" applyBorder="1" applyAlignment="1" applyProtection="1">
      <alignment horizontal="center"/>
    </xf>
    <xf numFmtId="0" fontId="0" fillId="0" borderId="49" xfId="0" applyBorder="1" applyAlignment="1" applyProtection="1">
      <alignment horizontal="center"/>
    </xf>
  </cellXfs>
  <cellStyles count="4">
    <cellStyle name="Hyperlink" xfId="2" xr:uid="{A981030A-AE44-4392-902B-585379CC0BBD}"/>
    <cellStyle name="Lien hypertexte" xfId="3" builtinId="8"/>
    <cellStyle name="Normal" xfId="0" builtinId="0"/>
    <cellStyle name="Pourcentage" xfId="1" builtinId="5"/>
  </cellStyles>
  <dxfs count="9">
    <dxf>
      <fill>
        <patternFill>
          <bgColor theme="9"/>
        </patternFill>
      </fill>
    </dxf>
    <dxf>
      <font>
        <b/>
        <i val="0"/>
        <color theme="2"/>
      </font>
      <fill>
        <patternFill>
          <fgColor theme="1"/>
          <bgColor rgb="FFC00000"/>
        </patternFill>
      </fill>
    </dxf>
    <dxf>
      <fill>
        <patternFill>
          <bgColor theme="9"/>
        </patternFill>
      </fill>
    </dxf>
    <dxf>
      <font>
        <b/>
        <i val="0"/>
        <color theme="2"/>
      </font>
      <fill>
        <patternFill>
          <bgColor rgb="FFC00000"/>
        </patternFill>
      </fill>
    </dxf>
    <dxf>
      <fill>
        <patternFill>
          <bgColor theme="4" tint="0.79998168889431442"/>
        </patternFill>
      </fill>
    </dxf>
    <dxf>
      <fill>
        <patternFill>
          <bgColor theme="4" tint="0.79998168889431442"/>
        </patternFill>
      </fill>
    </dxf>
    <dxf>
      <fill>
        <patternFill>
          <bgColor theme="4" tint="0.79998168889431442"/>
        </patternFill>
      </fill>
    </dxf>
    <dxf>
      <alignment horizontal="general" vertical="center" textRotation="0" wrapText="1" indent="0" justifyLastLine="0" shrinkToFit="0" readingOrder="0"/>
    </dxf>
    <dxf>
      <numFmt numFmtId="19" formatCode="dd/mm/yyyy"/>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0</xdr:row>
      <xdr:rowOff>174978</xdr:rowOff>
    </xdr:from>
    <xdr:to>
      <xdr:col>0</xdr:col>
      <xdr:colOff>2495102</xdr:colOff>
      <xdr:row>0</xdr:row>
      <xdr:rowOff>1559187</xdr:rowOff>
    </xdr:to>
    <xdr:pic>
      <xdr:nvPicPr>
        <xdr:cNvPr id="4" name="Image 3" descr="La Zone de Basses Émissions : partenaire officiel de votre santé. | Citoyen  - Bruxelles Environnement">
          <a:extLst>
            <a:ext uri="{FF2B5EF4-FFF2-40B4-BE49-F238E27FC236}">
              <a16:creationId xmlns:a16="http://schemas.microsoft.com/office/drawing/2014/main" id="{B8D043BA-B0C4-47AC-890F-7EE6463A0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853" y="174978"/>
          <a:ext cx="2398059" cy="1370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11281</xdr:colOff>
      <xdr:row>0</xdr:row>
      <xdr:rowOff>1152249</xdr:rowOff>
    </xdr:from>
    <xdr:to>
      <xdr:col>17</xdr:col>
      <xdr:colOff>591159</xdr:colOff>
      <xdr:row>3</xdr:row>
      <xdr:rowOff>47948</xdr:rowOff>
    </xdr:to>
    <xdr:pic>
      <xdr:nvPicPr>
        <xdr:cNvPr id="2" name="Image 1">
          <a:extLst>
            <a:ext uri="{FF2B5EF4-FFF2-40B4-BE49-F238E27FC236}">
              <a16:creationId xmlns:a16="http://schemas.microsoft.com/office/drawing/2014/main" id="{6A705877-9893-1964-47C4-2E805690043E}"/>
            </a:ext>
          </a:extLst>
        </xdr:cNvPr>
        <xdr:cNvPicPr>
          <a:picLocks noChangeAspect="1"/>
        </xdr:cNvPicPr>
      </xdr:nvPicPr>
      <xdr:blipFill>
        <a:blip xmlns:r="http://schemas.openxmlformats.org/officeDocument/2006/relationships" r:embed="rId2"/>
        <a:stretch>
          <a:fillRect/>
        </a:stretch>
      </xdr:blipFill>
      <xdr:spPr>
        <a:xfrm>
          <a:off x="12369536" y="1152249"/>
          <a:ext cx="4380353" cy="101931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ACFD550-8F01-41B2-B4EA-F04192E8FD7D}" name="Tableau1" displayName="Tableau1" ref="A1:C3" totalsRowShown="0">
  <autoFilter ref="A1:C3" xr:uid="{EACFD550-8F01-41B2-B4EA-F04192E8FD7D}"/>
  <tableColumns count="3">
    <tableColumn id="1" xr3:uid="{B16B2887-5943-4E17-A978-A7E0A8C841A3}" name="Version"/>
    <tableColumn id="2" xr3:uid="{804B4265-B2E8-4600-BD83-D38D1C71DBF7}" name="Date" dataDxfId="8"/>
    <tableColumn id="3" xr3:uid="{03182761-F160-4450-BE01-FBCE210AD0C3}" name="Release Notes" dataDxfId="7"/>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0D578-F5F5-4AA4-91F7-DA31FC34D7EC}">
  <sheetPr codeName="Feuil1"/>
  <dimension ref="A1:L47"/>
  <sheetViews>
    <sheetView tabSelected="1" zoomScale="90" zoomScaleNormal="90" workbookViewId="0">
      <selection activeCell="L20" sqref="L20"/>
    </sheetView>
  </sheetViews>
  <sheetFormatPr baseColWidth="10" defaultColWidth="11.44140625" defaultRowHeight="14.4" x14ac:dyDescent="0.3"/>
  <cols>
    <col min="1" max="1" width="39.109375" style="5" customWidth="1"/>
    <col min="2" max="2" width="7" style="5" customWidth="1"/>
    <col min="3" max="5" width="10.33203125" style="5" hidden="1" customWidth="1"/>
    <col min="6" max="6" width="50.109375" style="52" customWidth="1"/>
    <col min="7" max="9" width="11.44140625" style="5" hidden="1" customWidth="1"/>
    <col min="10" max="10" width="6.5546875" style="5" hidden="1" customWidth="1"/>
    <col min="11" max="11" width="7.44140625" style="5" customWidth="1"/>
    <col min="12" max="12" width="81.44140625" style="5" customWidth="1"/>
    <col min="13" max="16384" width="11.44140625" style="5"/>
  </cols>
  <sheetData>
    <row r="1" spans="1:12" ht="135.75" customHeight="1" thickBot="1" x14ac:dyDescent="0.35">
      <c r="B1" s="54" t="s">
        <v>1267</v>
      </c>
      <c r="C1" s="42"/>
      <c r="D1" s="42"/>
      <c r="E1" s="42"/>
      <c r="F1" s="41" t="str">
        <f>IF($B$1="FR","Calculateur de ratio parking par logement",IF($B$1="NL","Ratio calculator voor parkeerplaatsen per woning","Housing parking ratio calculator"))</f>
        <v>Calculateur de ratio parking par logement</v>
      </c>
      <c r="H1" s="5" t="s">
        <v>1270</v>
      </c>
      <c r="I1" s="5" t="s">
        <v>1271</v>
      </c>
      <c r="K1" s="72"/>
      <c r="L1" s="53" t="str">
        <f>IF($B$1="FR",_xlfn.CONCAT("Explications complémentaires :",CHAR(10),"
- Remplissez les cases bleues","
- Il est possible de sélectionner la langue via la cellule B1","
- Des informations complémentaires (fiche technique, carte, ...) sont disponibles via les liens situés en bas du tableau"),
IF($B$1="NL",_xlfn.CONCAT("Aanvullende uitleg:",CHAR(10),"
- Vul de blauwe vakjes in.","
- U kunt de taal selecteren via cel B1.","
- Aanvullende informatie (technische fiche, kaart, enz.) is beschikbaar via de links onderaan de tabel."),
_xlfn.CONCAT("Additional explanations:",CHAR(10),"
- Fill in the blue boxes.","
- You can select the language via cell B1.","
- Additional information (technical data sheet, map, etc.) is available via the links at the bottom of the table.")))</f>
        <v>Explications complémentaires :
- Remplissez les cases bleues
- Il est possible de sélectionner la langue via la cellule B1
- Des informations complémentaires (fiche technique, carte, ...) sont disponibles via les liens situés en bas du tableau</v>
      </c>
    </row>
    <row r="2" spans="1:12" ht="17.25" customHeight="1" thickBot="1" x14ac:dyDescent="0.35">
      <c r="A2" s="113" t="str">
        <f>IF($B$1="FR","Nom du projet",IF($B$1="NL","Naam van het project","Project name"))</f>
        <v>Nom du projet</v>
      </c>
      <c r="B2" s="114"/>
      <c r="C2" s="12"/>
      <c r="D2" s="12"/>
      <c r="E2" s="12"/>
      <c r="F2" s="74"/>
      <c r="K2" s="72" t="s">
        <v>1736</v>
      </c>
      <c r="L2" s="5" t="str">
        <f>IF($B$1="FR","Indiquez le nom de votre projet et la référence de votre dossier si disponible",IF($B$1="NL","Geef de naam van uw project en het dossiernummer indien beschikbaar","Indicate the name of your project and the reference number if available"))</f>
        <v>Indiquez le nom de votre projet et la référence de votre dossier si disponible</v>
      </c>
    </row>
    <row r="3" spans="1:12" x14ac:dyDescent="0.3">
      <c r="A3" s="111" t="str">
        <f>IF($B$1="FR","Nombre de secteurs statistiques à considérer",IF($B$1="NL","Aantal te beschouwen statistische sectoren","Number of statistical sectors to consider"))</f>
        <v>Nombre de secteurs statistiques à considérer</v>
      </c>
      <c r="B3" s="112"/>
      <c r="C3" s="56"/>
      <c r="D3" s="56"/>
      <c r="E3" s="69"/>
      <c r="F3" s="86">
        <v>1</v>
      </c>
      <c r="G3" s="20" t="s">
        <v>1</v>
      </c>
      <c r="H3" s="21" t="s">
        <v>634</v>
      </c>
      <c r="I3" s="21" t="s">
        <v>635</v>
      </c>
      <c r="J3" s="21" t="s">
        <v>643</v>
      </c>
      <c r="K3" s="72" t="s">
        <v>1736</v>
      </c>
      <c r="L3" s="5" t="str">
        <f>IF($B$1="FR","Valeur par défaut : 1 (à savoir uniquement le secteur statistique dans lequel s'implante le projet)",IF($B$1="NL","Standaardwaarde: 1 (alleen het statistische gebied waarin het project zich bevindt)","Default value: 1 (only the statistical sector where the project is located)"))</f>
        <v>Valeur par défaut : 1 (à savoir uniquement le secteur statistique dans lequel s'implante le projet)</v>
      </c>
    </row>
    <row r="4" spans="1:12" x14ac:dyDescent="0.3">
      <c r="A4" s="119" t="str">
        <f>IF($F$3&gt;=D4,IF(F4="",IF($B$1="FR","Sélectionnez un secteur statistique →",IF($B$1="NL","Selecteer een statistische sector →","Select a statistical sector →")),D4),IF(F4="","",IF($B$1="FR","Supprimez le secteur statistique →",IF($B$1="NL","Verwijder de statistische sector →","Delete the statistical sector →"))))</f>
        <v>Sélectionnez un secteur statistique →</v>
      </c>
      <c r="B4" s="119"/>
      <c r="C4" s="68" t="str">
        <f t="shared" ref="C4:C11" si="0">IF($F$3&gt;=D4,"Name","")</f>
        <v>Name</v>
      </c>
      <c r="D4" s="55">
        <v>1</v>
      </c>
      <c r="E4" s="70"/>
      <c r="F4" s="75"/>
      <c r="G4" s="5" t="e">
        <f>VLOOKUP($F4,Data!$B:$I,2,FALSE)</f>
        <v>#N/A</v>
      </c>
      <c r="H4" s="5" t="e">
        <f>VLOOKUP($F4,Data!$B:$I,5,FALSE)</f>
        <v>#N/A</v>
      </c>
      <c r="I4" s="5" t="e">
        <f>VLOOKUP($F4,Data!$B:$I,6,FALSE)</f>
        <v>#N/A</v>
      </c>
      <c r="J4" s="5" t="e">
        <f>VLOOKUP($F4,Data!$B:$I,7,FALSE)</f>
        <v>#N/A</v>
      </c>
      <c r="K4" s="72" t="s">
        <v>1736</v>
      </c>
      <c r="L4" s="67" t="str">
        <f>HYPERLINK("https://geodata.environnement.brussels/client/view/46fe8125-ebb5-4a45-9df4-89235a3dc1f5",IF($B$1="FR","Sélectionner le nom du/des secteur(s) statistique(s) à considérer (disponibles via la carte Geodata)",IF($B$1="NL","Selecteer de naam van de te beschouwen statistische sector(en) (beschikbaar via de Geodata-kaart)","Select the name of the statistical sector(s) to consider (available via the Geodata map)")))</f>
        <v>Sélectionner le nom du/des secteur(s) statistique(s) à considérer (disponibles via la carte Geodata)</v>
      </c>
    </row>
    <row r="5" spans="1:12" x14ac:dyDescent="0.3">
      <c r="A5" s="119" t="str">
        <f t="shared" ref="A5:A11" si="1">IF($F$3&gt;=D5,IF(F5="",IF($B$1="FR","Sélectionnez un secteur statistique →",IF($B$1="NL","Selecteer een statistische sector →","Select a statistical sector →")),D5),IF(F5="","",IF($B$1="FR","Supprimez le secteur statistique →",IF($B$1="NL","Verwijder de statistische sector →","Delete the statistical sector →"))))</f>
        <v/>
      </c>
      <c r="B5" s="119"/>
      <c r="C5" s="68" t="str">
        <f t="shared" si="0"/>
        <v/>
      </c>
      <c r="D5" s="55">
        <v>2</v>
      </c>
      <c r="E5" s="70"/>
      <c r="F5" s="75"/>
      <c r="G5" s="5" t="e">
        <f>VLOOKUP($F5,Data!$B:$I,2,FALSE)</f>
        <v>#N/A</v>
      </c>
      <c r="H5" s="5" t="e">
        <f>VLOOKUP($F5,Data!$B:$I,5,FALSE)</f>
        <v>#N/A</v>
      </c>
      <c r="I5" s="5" t="e">
        <f>VLOOKUP($F5,Data!$B:$I,6,FALSE)</f>
        <v>#N/A</v>
      </c>
      <c r="J5" s="5" t="e">
        <f>VLOOKUP($F5,Data!$B:$I,7,FALSE)</f>
        <v>#N/A</v>
      </c>
      <c r="K5" s="72"/>
    </row>
    <row r="6" spans="1:12" x14ac:dyDescent="0.3">
      <c r="A6" s="119" t="str">
        <f t="shared" si="1"/>
        <v/>
      </c>
      <c r="B6" s="119"/>
      <c r="C6" s="68" t="str">
        <f t="shared" si="0"/>
        <v/>
      </c>
      <c r="D6" s="55">
        <v>3</v>
      </c>
      <c r="E6" s="70"/>
      <c r="F6" s="75"/>
      <c r="G6" s="5" t="e">
        <f>VLOOKUP($F6,Data!$B:$I,2,FALSE)</f>
        <v>#N/A</v>
      </c>
      <c r="H6" s="5" t="e">
        <f>VLOOKUP($F6,Data!$B:$I,5,FALSE)</f>
        <v>#N/A</v>
      </c>
      <c r="I6" s="5" t="e">
        <f>VLOOKUP($F6,Data!$B:$I,6,FALSE)</f>
        <v>#N/A</v>
      </c>
      <c r="J6" s="5" t="e">
        <f>VLOOKUP($F6,Data!$B:$I,7,FALSE)</f>
        <v>#N/A</v>
      </c>
      <c r="K6" s="72"/>
    </row>
    <row r="7" spans="1:12" x14ac:dyDescent="0.3">
      <c r="A7" s="119" t="str">
        <f t="shared" si="1"/>
        <v/>
      </c>
      <c r="B7" s="119"/>
      <c r="C7" s="68" t="str">
        <f t="shared" si="0"/>
        <v/>
      </c>
      <c r="D7" s="55">
        <v>4</v>
      </c>
      <c r="E7" s="70"/>
      <c r="F7" s="75"/>
      <c r="G7" s="5" t="e">
        <f>VLOOKUP($F7,Data!$B:$I,2,FALSE)</f>
        <v>#N/A</v>
      </c>
      <c r="H7" s="5" t="e">
        <f>VLOOKUP($F7,Data!$B:$I,5,FALSE)</f>
        <v>#N/A</v>
      </c>
      <c r="I7" s="5" t="e">
        <f>VLOOKUP($F7,Data!$B:$I,6,FALSE)</f>
        <v>#N/A</v>
      </c>
      <c r="J7" s="5" t="e">
        <f>VLOOKUP($F7,Data!$B:$I,7,FALSE)</f>
        <v>#N/A</v>
      </c>
      <c r="K7" s="72"/>
    </row>
    <row r="8" spans="1:12" x14ac:dyDescent="0.3">
      <c r="A8" s="119" t="str">
        <f t="shared" si="1"/>
        <v/>
      </c>
      <c r="B8" s="119"/>
      <c r="C8" s="68" t="str">
        <f t="shared" si="0"/>
        <v/>
      </c>
      <c r="D8" s="55">
        <v>5</v>
      </c>
      <c r="E8" s="70"/>
      <c r="F8" s="75"/>
      <c r="G8" s="5" t="e">
        <f>VLOOKUP($F8,Data!$B:$I,2,FALSE)</f>
        <v>#N/A</v>
      </c>
      <c r="H8" s="5" t="e">
        <f>VLOOKUP($F8,Data!$B:$I,5,FALSE)</f>
        <v>#N/A</v>
      </c>
      <c r="I8" s="5" t="e">
        <f>VLOOKUP($F8,Data!$B:$I,6,FALSE)</f>
        <v>#N/A</v>
      </c>
      <c r="J8" s="5" t="e">
        <f>VLOOKUP($F8,Data!$B:$I,7,FALSE)</f>
        <v>#N/A</v>
      </c>
      <c r="K8" s="72"/>
    </row>
    <row r="9" spans="1:12" x14ac:dyDescent="0.3">
      <c r="A9" s="119" t="str">
        <f t="shared" si="1"/>
        <v/>
      </c>
      <c r="B9" s="119"/>
      <c r="C9" s="68" t="str">
        <f t="shared" si="0"/>
        <v/>
      </c>
      <c r="D9" s="55">
        <v>6</v>
      </c>
      <c r="E9" s="70"/>
      <c r="F9" s="75"/>
      <c r="G9" s="5" t="e">
        <f>VLOOKUP($F9,Data!$B:$I,2,FALSE)</f>
        <v>#N/A</v>
      </c>
      <c r="H9" s="5" t="e">
        <f>VLOOKUP($F9,Data!$B:$I,5,FALSE)</f>
        <v>#N/A</v>
      </c>
      <c r="I9" s="5" t="e">
        <f>VLOOKUP($F9,Data!$B:$I,6,FALSE)</f>
        <v>#N/A</v>
      </c>
      <c r="J9" s="5" t="e">
        <f>VLOOKUP($F9,Data!$B:$I,7,FALSE)</f>
        <v>#N/A</v>
      </c>
      <c r="K9" s="72"/>
    </row>
    <row r="10" spans="1:12" x14ac:dyDescent="0.3">
      <c r="A10" s="119" t="str">
        <f t="shared" si="1"/>
        <v/>
      </c>
      <c r="B10" s="119"/>
      <c r="C10" s="68" t="str">
        <f t="shared" si="0"/>
        <v/>
      </c>
      <c r="D10" s="55">
        <v>7</v>
      </c>
      <c r="E10" s="70"/>
      <c r="F10" s="75"/>
      <c r="G10" s="5" t="e">
        <f>VLOOKUP($F10,Data!$B:$I,2,FALSE)</f>
        <v>#N/A</v>
      </c>
      <c r="H10" s="5" t="e">
        <f>VLOOKUP($F10,Data!$B:$I,5,FALSE)</f>
        <v>#N/A</v>
      </c>
      <c r="I10" s="5" t="e">
        <f>VLOOKUP($F10,Data!$B:$I,6,FALSE)</f>
        <v>#N/A</v>
      </c>
      <c r="J10" s="5" t="e">
        <f>VLOOKUP($F10,Data!$B:$I,7,FALSE)</f>
        <v>#N/A</v>
      </c>
      <c r="K10" s="72"/>
    </row>
    <row r="11" spans="1:12" x14ac:dyDescent="0.3">
      <c r="A11" s="120" t="str">
        <f t="shared" si="1"/>
        <v/>
      </c>
      <c r="B11" s="120"/>
      <c r="C11" s="68" t="str">
        <f t="shared" si="0"/>
        <v/>
      </c>
      <c r="D11" s="55">
        <v>8</v>
      </c>
      <c r="E11" s="70"/>
      <c r="F11" s="75"/>
      <c r="G11" s="5" t="e">
        <f>VLOOKUP($F11,Data!$B:$I,2,FALSE)</f>
        <v>#N/A</v>
      </c>
      <c r="H11" s="5" t="e">
        <f>VLOOKUP($F11,Data!$B:$I,5,FALSE)</f>
        <v>#N/A</v>
      </c>
      <c r="I11" s="5" t="e">
        <f>VLOOKUP($F11,Data!$B:$I,6,FALSE)</f>
        <v>#N/A</v>
      </c>
      <c r="J11" s="5" t="e">
        <f>VLOOKUP($F11,Data!$B:$I,7,FALSE)</f>
        <v>#N/A</v>
      </c>
      <c r="K11" s="72"/>
    </row>
    <row r="12" spans="1:12" ht="54" customHeight="1" thickBot="1" x14ac:dyDescent="0.35">
      <c r="A12" s="115" t="str">
        <f>IF(F3&gt;1,IF($B$1="FR","Justification du choix des secteurs statistiques",IF($B$1="NL","Motivering van de keuze van de statistische sectoren","Justification for the choice of statistical sectors")),"")</f>
        <v/>
      </c>
      <c r="B12" s="116"/>
      <c r="C12" s="19" t="str">
        <f>IF($F$3&gt;=2,"Name","")</f>
        <v/>
      </c>
      <c r="D12" s="57"/>
      <c r="E12" s="71"/>
      <c r="F12" s="92"/>
      <c r="K12" s="72"/>
    </row>
    <row r="13" spans="1:12" ht="6.75" customHeight="1" thickBot="1" x14ac:dyDescent="0.35">
      <c r="K13" s="72"/>
    </row>
    <row r="14" spans="1:12" x14ac:dyDescent="0.3">
      <c r="A14" s="117" t="s">
        <v>1739</v>
      </c>
      <c r="B14" s="118"/>
      <c r="C14" s="17"/>
      <c r="D14" s="17"/>
      <c r="E14" s="17"/>
      <c r="F14" s="76" t="str">
        <f ca="1">IFERROR(SUMPRODUCT(INDIRECT("G4:G"&amp;3+F3),INDIRECT("I4:I"&amp;3+F3))/SUM(INDIRECT("G4:G"&amp;3+F3)),IF($B$1="FR",_xlfn.CONCAT("↑ Sélectionnez les ",F3," secteurs statistiques ↑"),IF($B$1="NL",_xlfn.CONCAT("↑ Selecteer de ",F3," statistische sectoren ↑"),_xlfn.CONCAT("↑ Select the ",F3," statistical sectors ↑"))))</f>
        <v>↑ Sélectionnez les 1 secteurs statistiques ↑</v>
      </c>
      <c r="H14" s="5" t="s">
        <v>1267</v>
      </c>
      <c r="K14" s="72" t="s">
        <v>1736</v>
      </c>
      <c r="L14" s="5" t="str">
        <f>IF($B$1="FR",
IF(F3&gt;1,"Moyenne pondérée par le nombre de ménages des taux de motorisation des ménages des secteurs statistiques considérés","Taux de motorisation des ménages du secteur statistique considéré"),
IF($B$1="NL",
IF(F3&gt;1,"Gewogen gemiddelde van het aantal huishoudens met motorisatiegraad in de beschouwde statistische sectoren","Motorisatiegraad van huishoudens in de beschouwde statistische sector"),
IF(F3&gt;1,"Weighted average by number of households of motorization rates in the considered statistical sectors","Motorization rate of households in the considered statistical sector")))</f>
        <v>Taux de motorisation des ménages du secteur statistique considéré</v>
      </c>
    </row>
    <row r="15" spans="1:12" x14ac:dyDescent="0.3">
      <c r="A15" s="107" t="s">
        <v>1266</v>
      </c>
      <c r="B15" s="108"/>
      <c r="C15" s="14"/>
      <c r="D15" s="14"/>
      <c r="E15" s="14"/>
      <c r="F15" s="77" t="str">
        <f ca="1">IFERROR(SUMPRODUCT(INDIRECT("G4:G" &amp; 3+F3),INDIRECT("J4:J" &amp; 3+F3))/SUM(INDIRECT("G4:G" &amp; 3+F3)),IF($B$1="FR",_xlfn.CONCAT("↑ Sélectionnez les ",F3," secteurs statistiques ↑"),IF($B$1="NL",_xlfn.CONCAT("↑ Selecteer de ",F3," statistische sectoren ↑"),_xlfn.CONCAT("↑ Select the ",F3," statistical sectors ↑"))))</f>
        <v>↑ Sélectionnez les 1 secteurs statistiques ↑</v>
      </c>
      <c r="H15" s="5" t="s">
        <v>1268</v>
      </c>
      <c r="K15" s="72" t="s">
        <v>1736</v>
      </c>
      <c r="L15" s="5" t="str">
        <f>IF($B$1="FR",
IF(F3&gt;1,"Moyenne pondérée par le nombre de ménages de l’accessibilité régionale au territoire en transport public des secteurs statistiques considérés (pour atteindre 500.000 personnes)","Accessibilité régionale au territoire en transport public du secteur statistique considéré (pour atteindre 500.000 personnes)"),
IF($B$1="NL",
IF(F3&gt;1,"Gewogen gemiddelde van de regionale toegankelijkheid van het gebied met het openbaar vervoer in de beschouwde statistische sectoren (om 500.000 personen te bereiken)","Regionale toegankelijkheid van het gebied met het openbaar vervoer in de beschouwde statistische sector (om 500.000 personen te bereiken)"),
IF(F3&gt;1,"Weighted average of regional accessibility to the territory by public transport in the considered statistical sectors (to reach 500,000 people)","Regional accessibility to the territory by public transport in the considered statistical sector (to reach 500,000 people)")))</f>
        <v>Accessibilité régionale au territoire en transport public du secteur statistique considéré (pour atteindre 500.000 personnes)</v>
      </c>
    </row>
    <row r="16" spans="1:12" x14ac:dyDescent="0.3">
      <c r="A16" s="107" t="s">
        <v>1265</v>
      </c>
      <c r="B16" s="108"/>
      <c r="C16" s="14"/>
      <c r="D16" s="14"/>
      <c r="E16" s="14"/>
      <c r="F16" s="78" t="str">
        <f ca="1">IFERROR(SUMPRODUCT(INDIRECT("G4:G" &amp; 3+F3),INDIRECT("H4:H" &amp; 3+F3))/SUM(INDIRECT("G4:G" &amp; 3+F3)),IF($B$1="FR",_xlfn.CONCAT("↑ Sélectionnez les ",F3," secteurs statistiques ↑"),IF($B$1="NL",_xlfn.CONCAT("↑ Selecteer de ",F3," statistische sectoren ↑"),_xlfn.CONCAT("↑ Select the ",F3," statistical sectors ↑"))))</f>
        <v>↑ Sélectionnez les 1 secteurs statistiques ↑</v>
      </c>
      <c r="H16" s="5" t="s">
        <v>1269</v>
      </c>
      <c r="K16" s="72" t="s">
        <v>1736</v>
      </c>
      <c r="L16" s="5" t="str">
        <f>IF($B$1="FR",
IF(F3&gt;1,"Moyenne pondérée par le nombre de ménages des taux d’occupation du stationnement en voirie des secteurs statistiques considérés (entre 5 et 7h, hors accès carrossables)","Taux d’occupation du stationnement en voirie du secteur statistique considéré (entre 5 et 7h, hors accès carrossables)"),
IF($B$1="NL",
IF(F3&gt;1,"Gewogen gemiddelde van het aantal huishoudens met bezettingsgraad van straatparkeren in de beschouwde statistische sectoren (tussen 5 en 7 uur, exclusief toegankelijke wegen)","Bezettingsgraad van straatparkeren in de beschouwde statistische sector (tussen 5 en 7 uur, exclusief toegankelijke wegen)"),
IF(F3&gt;1,"Weighted average by number of households of on-street parking occupancy rates in the considered statistical sectors (between 5 and 7 a.m., excluding accessible roads)","On-street parking occupancy rate in the considered statistical sector (between 5 and 7 a.m., excluding accessible roads)")))</f>
        <v>Taux d’occupation du stationnement en voirie du secteur statistique considéré (entre 5 et 7h, hors accès carrossables)</v>
      </c>
    </row>
    <row r="17" spans="1:11" x14ac:dyDescent="0.3">
      <c r="A17" s="107" t="str">
        <f>IF($B$1="FR","Nombre de places de parking voiture prévu",IF($B$1="NL","Antaal voorzien autoparkeerplaatsen","Planned number of car parking spaces"))</f>
        <v>Nombre de places de parking voiture prévu</v>
      </c>
      <c r="B17" s="108"/>
      <c r="C17" s="16"/>
      <c r="D17" s="15"/>
      <c r="E17" s="15"/>
      <c r="F17" s="87"/>
      <c r="K17" s="73"/>
    </row>
    <row r="18" spans="1:11" x14ac:dyDescent="0.3">
      <c r="A18" s="107" t="str">
        <f>IF($B$1="FR","Nombre d'emplacements vélo prévu",IF($B$1="NL","Aantal voorziene fietsplaatsen","Planned number of bicycle parking spaces"))</f>
        <v>Nombre d'emplacements vélo prévu</v>
      </c>
      <c r="B18" s="108"/>
      <c r="C18" s="26"/>
      <c r="D18" s="25"/>
      <c r="E18" s="25"/>
      <c r="F18" s="88"/>
      <c r="K18" s="72"/>
    </row>
    <row r="19" spans="1:11" ht="15" thickBot="1" x14ac:dyDescent="0.35">
      <c r="A19" s="109" t="str">
        <f>IF($B$1="FR","Ratio de parking automobile prévu",IF($B$1="NL","Voorzien autoparkeerratio","Planned car parking ratio"))</f>
        <v>Ratio de parking automobile prévu</v>
      </c>
      <c r="B19" s="110"/>
      <c r="C19" s="19"/>
      <c r="D19" s="18"/>
      <c r="E19" s="18"/>
      <c r="F19" s="79" t="str">
        <f>IF(F22=0,IF($B$1="FR","↓ Indiquez les nombres de logements ↓",IF($B$1="NL","↓ Geef het aantal woningen aan ↓","↓ Indicate the number of housing ↓")),F17/F22)</f>
        <v>↓ Indiquez les nombres de logements ↓</v>
      </c>
      <c r="K19" s="72"/>
    </row>
    <row r="20" spans="1:11" ht="6.75" customHeight="1" thickBot="1" x14ac:dyDescent="0.35">
      <c r="A20" s="3"/>
      <c r="B20" s="2"/>
      <c r="F20" s="80"/>
    </row>
    <row r="21" spans="1:11" ht="15" thickBot="1" x14ac:dyDescent="0.35">
      <c r="A21" s="4"/>
      <c r="B21" s="47" t="s">
        <v>638</v>
      </c>
      <c r="C21" s="48" t="s">
        <v>639</v>
      </c>
      <c r="D21" s="48" t="s">
        <v>640</v>
      </c>
      <c r="E21" s="48" t="s">
        <v>637</v>
      </c>
      <c r="F21" s="49" t="str">
        <f>IF($B$1="FR","Nombre de logements",IF($B$1="NL","Aantal woningen","Number of housing"))</f>
        <v>Nombre de logements</v>
      </c>
      <c r="G21" s="43"/>
      <c r="H21" s="43"/>
      <c r="I21" s="43"/>
      <c r="J21" s="43"/>
      <c r="K21" s="49" t="s">
        <v>1272</v>
      </c>
    </row>
    <row r="22" spans="1:11" ht="15" customHeight="1" thickBot="1" x14ac:dyDescent="0.35">
      <c r="A22" s="4"/>
      <c r="B22" s="61">
        <v>0.54300000000000004</v>
      </c>
      <c r="C22" s="59" t="str">
        <f ca="1">F14</f>
        <v>↑ Sélectionnez les 1 secteurs statistiques ↑</v>
      </c>
      <c r="D22" s="59" t="str">
        <f ca="1">F15</f>
        <v>↑ Sélectionnez les 1 secteurs statistiques ↑</v>
      </c>
      <c r="E22" s="59" t="e">
        <f ca="1">(F14+D22)/2*IF(F16&lt;85%,0.9,IF(F16&gt;100%,1,0.95))</f>
        <v>#VALUE!</v>
      </c>
      <c r="F22" s="81">
        <f>SUM(F23:F29)</f>
        <v>0</v>
      </c>
      <c r="G22" s="60"/>
      <c r="H22" s="60"/>
      <c r="I22" s="60"/>
      <c r="J22" s="60"/>
      <c r="K22" s="62">
        <f ca="1">IFERROR(SUM(K23:K29)," ")</f>
        <v>0</v>
      </c>
    </row>
    <row r="23" spans="1:11" x14ac:dyDescent="0.3">
      <c r="A23" s="31" t="str">
        <f>IF($B$1="FR","Logements étudiants ",IF($B$1="NL","Studentenwoningen","Student housing"))</f>
        <v xml:space="preserve">Logements étudiants </v>
      </c>
      <c r="B23" s="50">
        <v>0.05</v>
      </c>
      <c r="C23" s="9" t="e">
        <f ca="1">IF(B23*F$14/B$22&gt;1,1,B23*F$14/B$22)</f>
        <v>#VALUE!</v>
      </c>
      <c r="D23" s="9" t="e">
        <f t="shared" ref="D23:D28" ca="1" si="2">IF(B23*D$22/B$22&gt;1,1,B23*D$22/B$22)</f>
        <v>#VALUE!</v>
      </c>
      <c r="E23" s="9" t="e">
        <f t="shared" ref="E23:E28" ca="1" si="3">IF(B23*E$22/B$22&gt;1,1,B23*E$22/B$22)</f>
        <v>#VALUE!</v>
      </c>
      <c r="F23" s="89"/>
      <c r="G23" s="24"/>
      <c r="H23" s="24"/>
      <c r="I23" s="24"/>
      <c r="J23" s="24"/>
      <c r="K23" s="51" t="str">
        <f t="shared" ref="K23:K29" ca="1" si="4">IFERROR(F23*E23," ")</f>
        <v xml:space="preserve"> </v>
      </c>
    </row>
    <row r="24" spans="1:11" x14ac:dyDescent="0.3">
      <c r="A24" s="32" t="str">
        <f>IF($B$1="FR","Coliving",IF($B$1="NL","Samenwonen","Coliving"))</f>
        <v>Coliving</v>
      </c>
      <c r="B24" s="8">
        <v>0.18</v>
      </c>
      <c r="C24" s="10" t="e">
        <f t="shared" ref="C24:C29" ca="1" si="5">IF(B24*F$14/B$22&gt;1,1,B24*F$14/B$22)</f>
        <v>#VALUE!</v>
      </c>
      <c r="D24" s="10" t="e">
        <f t="shared" ca="1" si="2"/>
        <v>#VALUE!</v>
      </c>
      <c r="E24" s="10" t="e">
        <f t="shared" ca="1" si="3"/>
        <v>#VALUE!</v>
      </c>
      <c r="F24" s="90"/>
      <c r="G24" s="24"/>
      <c r="H24" s="24"/>
      <c r="I24" s="24"/>
      <c r="J24" s="24"/>
      <c r="K24" s="13" t="str">
        <f t="shared" ca="1" si="4"/>
        <v xml:space="preserve"> </v>
      </c>
    </row>
    <row r="25" spans="1:11" x14ac:dyDescent="0.3">
      <c r="A25" s="33" t="str">
        <f>IF($B$1="FR","Studios",IF($B$1="NL","Studio's","Studios"))</f>
        <v>Studios</v>
      </c>
      <c r="B25" s="8">
        <v>0.09</v>
      </c>
      <c r="C25" s="10" t="e">
        <f t="shared" ca="1" si="5"/>
        <v>#VALUE!</v>
      </c>
      <c r="D25" s="10" t="e">
        <f t="shared" ca="1" si="2"/>
        <v>#VALUE!</v>
      </c>
      <c r="E25" s="10" t="e">
        <f t="shared" ca="1" si="3"/>
        <v>#VALUE!</v>
      </c>
      <c r="F25" s="90"/>
      <c r="G25" s="24"/>
      <c r="H25" s="24"/>
      <c r="I25" s="24"/>
      <c r="J25" s="24"/>
      <c r="K25" s="13" t="str">
        <f t="shared" ca="1" si="4"/>
        <v xml:space="preserve"> </v>
      </c>
    </row>
    <row r="26" spans="1:11" x14ac:dyDescent="0.3">
      <c r="A26" s="33" t="str">
        <f>IF($B$1="FR","Logements 1 chambre",IF($B$1="NL","1-kamerwoningen","1-bedroom housing"))</f>
        <v>Logements 1 chambre</v>
      </c>
      <c r="B26" s="8">
        <v>0.34</v>
      </c>
      <c r="C26" s="10" t="e">
        <f t="shared" ca="1" si="5"/>
        <v>#VALUE!</v>
      </c>
      <c r="D26" s="10" t="e">
        <f t="shared" ca="1" si="2"/>
        <v>#VALUE!</v>
      </c>
      <c r="E26" s="10" t="e">
        <f t="shared" ca="1" si="3"/>
        <v>#VALUE!</v>
      </c>
      <c r="F26" s="90"/>
      <c r="G26" s="24"/>
      <c r="H26" s="24"/>
      <c r="I26" s="24"/>
      <c r="J26" s="24"/>
      <c r="K26" s="13" t="str">
        <f t="shared" ca="1" si="4"/>
        <v xml:space="preserve"> </v>
      </c>
    </row>
    <row r="27" spans="1:11" x14ac:dyDescent="0.3">
      <c r="A27" s="33" t="str">
        <f>IF($B$1="FR","Logements 2 chambres",IF($B$1="NL","2-kamerwoningen","2-bedroom housing"))</f>
        <v>Logements 2 chambres</v>
      </c>
      <c r="B27" s="8">
        <v>0.5</v>
      </c>
      <c r="C27" s="10" t="e">
        <f t="shared" ca="1" si="5"/>
        <v>#VALUE!</v>
      </c>
      <c r="D27" s="10" t="e">
        <f t="shared" ca="1" si="2"/>
        <v>#VALUE!</v>
      </c>
      <c r="E27" s="10" t="e">
        <f t="shared" ca="1" si="3"/>
        <v>#VALUE!</v>
      </c>
      <c r="F27" s="90"/>
      <c r="G27" s="24"/>
      <c r="H27" s="24"/>
      <c r="I27" s="24"/>
      <c r="J27" s="24"/>
      <c r="K27" s="13" t="str">
        <f t="shared" ca="1" si="4"/>
        <v xml:space="preserve"> </v>
      </c>
    </row>
    <row r="28" spans="1:11" x14ac:dyDescent="0.3">
      <c r="A28" s="33" t="str">
        <f>IF($B$1="FR","Logements 3 chambres",IF($B$1="NL","3-kamerwoningen","3-bedroom housing"))</f>
        <v>Logements 3 chambres</v>
      </c>
      <c r="B28" s="8">
        <v>0.66</v>
      </c>
      <c r="C28" s="10" t="e">
        <f t="shared" ca="1" si="5"/>
        <v>#VALUE!</v>
      </c>
      <c r="D28" s="10" t="e">
        <f t="shared" ca="1" si="2"/>
        <v>#VALUE!</v>
      </c>
      <c r="E28" s="10" t="e">
        <f t="shared" ca="1" si="3"/>
        <v>#VALUE!</v>
      </c>
      <c r="F28" s="90"/>
      <c r="G28" s="24"/>
      <c r="H28" s="24"/>
      <c r="I28" s="24"/>
      <c r="J28" s="24"/>
      <c r="K28" s="13" t="str">
        <f t="shared" ca="1" si="4"/>
        <v xml:space="preserve"> </v>
      </c>
    </row>
    <row r="29" spans="1:11" ht="15" thickBot="1" x14ac:dyDescent="0.35">
      <c r="A29" s="33" t="str">
        <f>IF($B$1="FR","Logements 4 chambres et plus",IF($B$1="NL","4-kamerwoningen en meer","4-bedroom housing and more"))</f>
        <v>Logements 4 chambres et plus</v>
      </c>
      <c r="B29" s="44">
        <v>0.71</v>
      </c>
      <c r="C29" s="45" t="e">
        <f t="shared" ca="1" si="5"/>
        <v>#VALUE!</v>
      </c>
      <c r="D29" s="45" t="e">
        <f ca="1">IF(B29*D$22/B$22&gt;1,1,B29*D$22/B$22)</f>
        <v>#VALUE!</v>
      </c>
      <c r="E29" s="45" t="e">
        <f ca="1">IF(B29*E$22/B$22&gt;1,1,B29*E$22/B$22)</f>
        <v>#VALUE!</v>
      </c>
      <c r="F29" s="91"/>
      <c r="G29" s="22"/>
      <c r="H29" s="22"/>
      <c r="I29" s="22"/>
      <c r="J29" s="22"/>
      <c r="K29" s="46" t="str">
        <f t="shared" ca="1" si="4"/>
        <v xml:space="preserve"> </v>
      </c>
    </row>
    <row r="30" spans="1:11" ht="6.75" customHeight="1" thickBot="1" x14ac:dyDescent="0.35">
      <c r="A30" s="11"/>
      <c r="B30" s="27"/>
      <c r="C30" s="27"/>
      <c r="D30" s="27"/>
      <c r="E30" s="27"/>
      <c r="F30" s="82"/>
    </row>
    <row r="31" spans="1:11" ht="15" thickBot="1" x14ac:dyDescent="0.35">
      <c r="A31" s="4"/>
      <c r="B31" s="24"/>
      <c r="C31" s="24"/>
      <c r="D31" s="24"/>
      <c r="E31" s="24"/>
      <c r="F31" s="7" t="str">
        <f>IF($B$1="FR","Cible",IF($B$1="NL","Doel","Target"))</f>
        <v>Cible</v>
      </c>
      <c r="H31" s="6" t="s">
        <v>641</v>
      </c>
      <c r="I31" s="7" t="s">
        <v>642</v>
      </c>
    </row>
    <row r="32" spans="1:11" x14ac:dyDescent="0.3">
      <c r="A32" s="3" t="str">
        <f>IF($B$1="FR","Ratio de parking automobile calculé",IF($B$1="NL","Berekende autoparkeerratio","Calculated car parking ratio"))</f>
        <v>Ratio de parking automobile calculé</v>
      </c>
      <c r="B32" s="24"/>
      <c r="C32" s="24"/>
      <c r="D32" s="24"/>
      <c r="E32" s="24"/>
      <c r="F32" s="94" t="str">
        <f>IF(F22=0,"",IFERROR(SUMPRODUCT(E23:E29,F23:F29)/F22,IF($B$1="FR",_xlfn.CONCAT("Selectionnez les ",F3," secteurs statistiques"),IF($B$1="NL",_xlfn.CONCAT("Selecteer de ",F3," statistische sectoren"),_xlfn.CONCAT("Select the",F3," statistical sectors")))))</f>
        <v/>
      </c>
      <c r="G32" s="95"/>
      <c r="H32" s="96" t="e">
        <f ca="1">MIN(SUMPRODUCT(F23:F29,D23:D29)/F22,SUMPRODUCT(F23:F29,C23:C29)/F22,F32*0.95)</f>
        <v>#VALUE!</v>
      </c>
      <c r="I32" s="97" t="e">
        <f>F32*1.05</f>
        <v>#VALUE!</v>
      </c>
      <c r="K32" s="52"/>
    </row>
    <row r="33" spans="1:12" ht="15" thickBot="1" x14ac:dyDescent="0.35">
      <c r="A33" s="3" t="str">
        <f>IF($B$1="FR","Nombre de places de parking automobile calculé",IF($B$1="NL","Antaal berekende autoparkeerplaatsen","Calculated number of car parking spaces"))</f>
        <v>Nombre de places de parking automobile calculé</v>
      </c>
      <c r="B33" s="24"/>
      <c r="C33" s="24"/>
      <c r="D33" s="24"/>
      <c r="E33" s="24"/>
      <c r="F33" s="98" t="str">
        <f ca="1">IFERROR(_xlfn.CONCAT(ROUND(F32*F22,1)," ∈ [",ROUND(H33,1)," - ",ROUND(I33,1),"]")," ")</f>
        <v xml:space="preserve"> </v>
      </c>
      <c r="G33" s="95"/>
      <c r="H33" s="99" t="e">
        <f ca="1">H32*F22</f>
        <v>#VALUE!</v>
      </c>
      <c r="I33" s="99" t="e">
        <f>I32*F22</f>
        <v>#VALUE!</v>
      </c>
      <c r="K33" s="72" t="s">
        <v>1736</v>
      </c>
      <c r="L33" s="5" t="str">
        <f>IF($B$1="FR","L'intervalle de valeurs acceptables est indiqué entre crochets",IF($B$1="NL","Het aanvaardbare waardebereik staat tussen haakjes aangegeven.","The acceptable range of values is indicated in square brackets."))</f>
        <v>L'intervalle de valeurs acceptables est indiqué entre crochets</v>
      </c>
    </row>
    <row r="34" spans="1:12" x14ac:dyDescent="0.3">
      <c r="A34" s="3" t="str">
        <f ca="1">IF(F34=" "," ",IF($B$1="FR","Dont places pour riverains",IF($B$1="NL","Waarvan plaatsen voor bewoners","Including spaces for residents")))</f>
        <v xml:space="preserve"> </v>
      </c>
      <c r="B34" s="24"/>
      <c r="C34" s="24"/>
      <c r="D34" s="24"/>
      <c r="E34" s="24"/>
      <c r="F34" s="83" t="str">
        <f ca="1">IFERROR(IF(F16&gt;85%,ROUND(F32*F22/IF(F16&lt;85%,0.9,IF(F16&gt;100%,1,0.95))*(IF(F16&lt;85%,0.9,IF(F16&gt;100%,1,0.95))-0.9),1)," ")," ")</f>
        <v xml:space="preserve"> </v>
      </c>
      <c r="I34" s="93"/>
      <c r="K34" s="72" t="str">
        <f ca="1">IF(F34=" "," ","←")</f>
        <v xml:space="preserve"> </v>
      </c>
      <c r="L34" s="5" t="str">
        <f ca="1">IF($B$1="FR",IF(F34=" "," ","Nombre de places à reserver aux riverains du projet"),IF($B$1="NL",IF(F34=" "," ","Aantal parkeerplaatsen dat moet worden gereserveerd voor de buren van het projectt"),IF(F34=" "," ","Number of places to be reserved for neighbours of the project")))</f>
        <v xml:space="preserve"> </v>
      </c>
    </row>
    <row r="35" spans="1:12" ht="6" customHeight="1" x14ac:dyDescent="0.3">
      <c r="A35" s="3"/>
      <c r="B35" s="29"/>
      <c r="C35" s="29"/>
      <c r="D35" s="29"/>
      <c r="E35" s="24"/>
      <c r="F35" s="83"/>
      <c r="K35" s="72"/>
    </row>
    <row r="36" spans="1:12" x14ac:dyDescent="0.3">
      <c r="A36" s="3" t="str">
        <f>IF($B$1="FR","Résultat",IF($B$1="NL","Resultaat","Result"))</f>
        <v>Résultat</v>
      </c>
      <c r="B36" s="29"/>
      <c r="C36" s="29"/>
      <c r="D36" s="29"/>
      <c r="E36" s="29"/>
      <c r="F36" s="58" t="str">
        <f>IF(F22=0,"",IFERROR(IF(F17&lt;ROUNDDOWN(H33,0),IF($B$1="FR","NOK : nombre de places prévu trop bas",IF($B$1="NL","NOK: te weinig voorzien parkeerplaatsen","NOK: number of planned parking too low")),IF(F17&gt;ROUNDUP(I33,0),IF($B$1="FR","NOK : nombre de places prévu trop élevé",IF($B$1="NL","NOK: te veel voorzien parkeerplaatsen","NOK: number of planned parking too high")),"OK")),""))</f>
        <v/>
      </c>
      <c r="H36" s="93"/>
      <c r="K36" s="72"/>
    </row>
    <row r="37" spans="1:12" ht="6.75" customHeight="1" thickBot="1" x14ac:dyDescent="0.35">
      <c r="A37" s="28"/>
      <c r="B37" s="30"/>
      <c r="C37" s="30"/>
      <c r="D37" s="30"/>
      <c r="E37" s="30"/>
      <c r="F37" s="84"/>
      <c r="K37" s="72"/>
    </row>
    <row r="38" spans="1:12" ht="60" customHeight="1" thickBot="1" x14ac:dyDescent="0.35">
      <c r="A38" s="34" t="str">
        <f>IF($B$1="FR","Commentaire / justification d'une déviation au ratio calculé",IF($B$1="NL","Commentaar / rechtvaardiging van een afwijking van de berekende ratio","Comment / justification for deviation from calculated ratio"))</f>
        <v>Commentaire / justification d'une déviation au ratio calculé</v>
      </c>
      <c r="B38" s="23"/>
      <c r="C38" s="23"/>
      <c r="D38" s="23"/>
      <c r="E38" s="23"/>
      <c r="F38" s="100"/>
      <c r="H38" s="5" t="s">
        <v>1738</v>
      </c>
      <c r="I38" s="5" t="s">
        <v>1737</v>
      </c>
      <c r="K38" s="72"/>
    </row>
    <row r="39" spans="1:12" ht="15.75" customHeight="1" x14ac:dyDescent="0.3">
      <c r="A39" s="11" t="str">
        <f>IF($B$1="FR","Nombre d'emplacements vélo calculé",IF($B$1="NL","Aantal berekende fietsplaatsen","Calculated number of bicycle spaces"))</f>
        <v>Nombre d'emplacements vélo calculé</v>
      </c>
      <c r="B39" s="27"/>
      <c r="C39" s="27"/>
      <c r="D39" s="27"/>
      <c r="E39" s="27"/>
      <c r="F39" s="82" t="str">
        <f>IF(F22=0,"",F23+F24+F25*2+F26*2+F27*2+F28*3+F29*4)</f>
        <v/>
      </c>
      <c r="K39" s="72" t="s">
        <v>1736</v>
      </c>
      <c r="L39" s="5" t="str">
        <f>IF($B$1="FR","A raison d'un emplacement par chambre pour un minimum de 2 par logement. Ce chiffre est susceptible d'être sous-estimé si le projet comporte des logements 5 chambres et plus. ",IF($B$1="NL","Eén plaats per kamer, met een minimum van twee per woning. Dit cijfer kan worden onderschat als het project woningen met vijf of meer kamers omvat. ","One space per room, with a minimum of two per housing. This figure may be underestimated if the project includes housing with five or more rooms. "))</f>
        <v xml:space="preserve">A raison d'un emplacement par chambre pour un minimum de 2 par logement. Ce chiffre est susceptible d'être sous-estimé si le projet comporte des logements 5 chambres et plus. </v>
      </c>
    </row>
    <row r="40" spans="1:12" ht="15.75" customHeight="1" thickBot="1" x14ac:dyDescent="0.35">
      <c r="A40" s="3" t="str">
        <f>IF($B$1="FR","Résultat (vélo)",IF($B$1="NL","Resultaat (fiets)","Result (bike)"))</f>
        <v>Résultat (vélo)</v>
      </c>
      <c r="B40" s="63"/>
      <c r="C40" s="63"/>
      <c r="D40" s="63"/>
      <c r="E40" s="63"/>
      <c r="F40" s="83" t="str">
        <f>IFERROR(IF(F18-F39&gt;=0,"OK",IF($B$1="FR",_xlfn.CONCAT("NOK : il manque ",ABS(F18-F39)," emplacements"),IF($B$1="NL",_xlfn.CONCAT("NOK: ",ABS(F18-F39)," fietsplaatsen te weinig"),_xlfn.CONCAT("NOK: ",ABS(F18-F39)," bicycle spaces are missing")))),"")</f>
        <v/>
      </c>
      <c r="K40" s="72" t="s">
        <v>1736</v>
      </c>
      <c r="L40" s="5" t="str">
        <f>IF($B$1="FR","Ne peut être négatif si l'offre en parking voiture est trop élevée",IF($B$1="NL","Kan niet negatief zijn als het aanbod aan parkeerplaatsen te groot is.","Cannot be negative if the supply of car parking spaces is too high."))</f>
        <v>Ne peut être négatif si l'offre en parking voiture est trop élevée</v>
      </c>
    </row>
    <row r="41" spans="1:12" x14ac:dyDescent="0.3">
      <c r="A41" s="35" t="str">
        <f>IF($B$1="FR","Lien vers la carte Geodata",IF($B$1="NL","Link naar Geodata-kaart","Link to Geodata map"))</f>
        <v>Lien vers la carte Geodata</v>
      </c>
      <c r="B41" s="36"/>
      <c r="C41" s="36"/>
      <c r="D41" s="36"/>
      <c r="E41" s="36"/>
      <c r="F41" s="64" t="str">
        <f>IF($B$1="FR",HYPERLINK("https://geodata.environnement.brussels/client/view/46fe8125-ebb5-4a45-9df4-89235a3dc1f5","cliquez ici"),IF($B$1="NL",HYPERLINK("https://geodata.environnement.brussels/client/view/46fe8125-ebb5-4a45-9df4-89235a3dc1f5","klik hier"),HYPERLINK("https://geodata.environnement.brussels/client/view/46fe8125-ebb5-4a45-9df4-89235a3dc1f5","not available in English")))</f>
        <v>cliquez ici</v>
      </c>
      <c r="K41" s="72"/>
    </row>
    <row r="42" spans="1:12" x14ac:dyDescent="0.3">
      <c r="A42" s="37" t="str">
        <f>IF($B$1="FR","Lien vers la fiche explicative",IF($B$1="NL","Link naar uitlegfiche","Link to explanatory sheet"))</f>
        <v>Lien vers la fiche explicative</v>
      </c>
      <c r="B42" s="38"/>
      <c r="C42" s="38"/>
      <c r="D42" s="38"/>
      <c r="E42" s="38"/>
      <c r="F42" s="65" t="str">
        <f>IF($B$1="FR",HYPERLINK("https://environnement.brussels/sites/default/files/BELB_RatioPK_FicheTech_FR.pdf","cliquez ici"),IF($B$1="NL",HYPERLINK("https://environnement.brussels/sites/default/files/BELB_RatioPK_FicheTech_NL.pdf","klik hier"),HYPERLINK("https://environnement.brussels/sites/default/files/BELB_RatioPK_FicheTech_FR.pdf","not available in English")))</f>
        <v>cliquez ici</v>
      </c>
    </row>
    <row r="43" spans="1:12" ht="15" thickBot="1" x14ac:dyDescent="0.35">
      <c r="A43" s="39" t="str">
        <f>IF($B$1="FR","Lien vers le site internet",IF($B$1="NL","Link naar de website","Link to website"))</f>
        <v>Lien vers le site internet</v>
      </c>
      <c r="B43" s="40"/>
      <c r="C43" s="40"/>
      <c r="D43" s="40"/>
      <c r="E43" s="40"/>
      <c r="F43" s="66" t="str">
        <f>IF($B$1="FR",HYPERLINK("https://environnement.brussels/pro/reglementation-et-inspection/obligations-et-autorisations/stationnement-et-livraison-velos-motos-et-autos?highlight=parking","cliquez ici"),IF($B$1="NL",HYPERLINK("https://leefmilieu.brussels/pro/regelgeving-en-inspectie/verplichtingen-en-vergunningen/parking-en-levering-fietsen-motoren-en-autos?highlight=parking","klik hier"),HYPERLINK("https://geodata.environnement.brussels/client/view/46fe8125-ebb5-4a45-9df4-89235a3dc1f5","not available in English")))</f>
        <v>cliquez ici</v>
      </c>
    </row>
    <row r="44" spans="1:12" x14ac:dyDescent="0.3">
      <c r="F44" s="85" t="s">
        <v>1740</v>
      </c>
    </row>
    <row r="47" spans="1:12" x14ac:dyDescent="0.3">
      <c r="A47"/>
    </row>
  </sheetData>
  <sheetProtection algorithmName="SHA-512" hashValue="Mm8O4nOJbcIh+LnDFpyXV/Wn61345sEs0EUpp4nN9vzg8PdkqgY8md4YBkuP8Ve/Rn6Jx5rWdZAAUGI38aU0IA==" saltValue="QHyyBJq4nXpBjlWxL8S3XQ==" spinCount="100000" sheet="1" objects="1" scenarios="1"/>
  <mergeCells count="17">
    <mergeCell ref="A11:B11"/>
    <mergeCell ref="A17:B17"/>
    <mergeCell ref="A18:B18"/>
    <mergeCell ref="A19:B19"/>
    <mergeCell ref="A3:B3"/>
    <mergeCell ref="A2:B2"/>
    <mergeCell ref="A12:B12"/>
    <mergeCell ref="A14:B14"/>
    <mergeCell ref="A15:B15"/>
    <mergeCell ref="A16:B16"/>
    <mergeCell ref="A4:B4"/>
    <mergeCell ref="A5:B5"/>
    <mergeCell ref="A6:B6"/>
    <mergeCell ref="A7:B7"/>
    <mergeCell ref="A8:B8"/>
    <mergeCell ref="A9:B9"/>
    <mergeCell ref="A10:B10"/>
  </mergeCells>
  <phoneticPr fontId="14" type="noConversion"/>
  <conditionalFormatting sqref="F4:F12">
    <cfRule type="expression" dxfId="6" priority="7" stopIfTrue="1">
      <formula>IF(C4="Name",TRUE,FALSE)</formula>
    </cfRule>
  </conditionalFormatting>
  <conditionalFormatting sqref="F5">
    <cfRule type="expression" dxfId="5" priority="9">
      <formula>"si($C$4=""Name"")"</formula>
    </cfRule>
  </conditionalFormatting>
  <conditionalFormatting sqref="F6">
    <cfRule type="expression" dxfId="4" priority="8">
      <formula>$C$6="Name"</formula>
    </cfRule>
  </conditionalFormatting>
  <conditionalFormatting sqref="F36">
    <cfRule type="expression" priority="2" stopIfTrue="1">
      <formula>IF($F$36="",TRUE,FALSE)</formula>
    </cfRule>
    <cfRule type="expression" dxfId="3" priority="3" stopIfTrue="1">
      <formula>IF($F$36&lt;&gt;"OK",TRUE,FALSE)</formula>
    </cfRule>
    <cfRule type="expression" dxfId="2" priority="4" stopIfTrue="1">
      <formula>IF($F$36="OK",TRUE,FALSE)</formula>
    </cfRule>
  </conditionalFormatting>
  <conditionalFormatting sqref="F40">
    <cfRule type="expression" priority="1" stopIfTrue="1">
      <formula>IF($F$40="",TRUE,FALSE)</formula>
    </cfRule>
    <cfRule type="expression" dxfId="1" priority="5" stopIfTrue="1">
      <formula>IF($F$18-$F$39&lt;0,TRUE,FALSE)</formula>
    </cfRule>
    <cfRule type="expression" dxfId="0" priority="6" stopIfTrue="1">
      <formula>IF(F18-F30&gt;0,TRUE,FALSE)</formula>
    </cfRule>
  </conditionalFormatting>
  <dataValidations count="3">
    <dataValidation type="list" allowBlank="1" showInputMessage="1" showErrorMessage="1" sqref="B1" xr:uid="{285F07FC-F7A1-48AA-9474-8219540BB40D}">
      <formula1>$H$14:$H$16</formula1>
    </dataValidation>
    <dataValidation type="list" allowBlank="1" showInputMessage="1" showErrorMessage="1" sqref="F3" xr:uid="{C6F35963-5C97-4551-ACB9-E736D1A31724}">
      <formula1>$D$4:$D$11</formula1>
    </dataValidation>
    <dataValidation type="list" allowBlank="1" showInputMessage="1" showErrorMessage="1" sqref="F4:F11" xr:uid="{13928A6F-F019-4492-B07D-0F411B8A10CE}">
      <formula1>INDIRECT(C4)</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4265B-0BE4-4E6D-A751-CC0DE0244447}">
  <dimension ref="A1:C3"/>
  <sheetViews>
    <sheetView workbookViewId="0">
      <selection activeCell="C11" sqref="C11"/>
    </sheetView>
  </sheetViews>
  <sheetFormatPr baseColWidth="10" defaultRowHeight="14.4" x14ac:dyDescent="0.3"/>
  <cols>
    <col min="1" max="1" width="10.88671875" customWidth="1"/>
    <col min="3" max="3" width="104.109375" customWidth="1"/>
  </cols>
  <sheetData>
    <row r="1" spans="1:3" x14ac:dyDescent="0.3">
      <c r="A1" t="s">
        <v>1745</v>
      </c>
      <c r="B1" s="105" t="s">
        <v>1741</v>
      </c>
      <c r="C1" s="103" t="s">
        <v>1742</v>
      </c>
    </row>
    <row r="2" spans="1:3" x14ac:dyDescent="0.3">
      <c r="A2" t="s">
        <v>1743</v>
      </c>
      <c r="B2" s="104">
        <v>45985</v>
      </c>
      <c r="C2" s="102" t="s">
        <v>1744</v>
      </c>
    </row>
    <row r="3" spans="1:3" ht="100.8" x14ac:dyDescent="0.3">
      <c r="A3" s="101" t="s">
        <v>1740</v>
      </c>
      <c r="B3" s="104">
        <v>46030</v>
      </c>
      <c r="C3" s="102" t="s">
        <v>1762</v>
      </c>
    </row>
  </sheetData>
  <sheetProtection algorithmName="SHA-512" hashValue="Gh57fiow+yDrmZWp8QZVPFSFJ6wUAIeGaOKrGFASMQOhauEjHg9olKkWxmHZRsRuPQPkDLGUQgY3QLgqC+co2Q==" saltValue="tvmYepriRs2b5NvNB3aOHw==" spinCount="100000" sheet="1" objects="1" scenarios="1"/>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19528-C7C6-42CE-8A69-AFAA1CCD2A1A}">
  <sheetPr codeName="Feuil2"/>
  <dimension ref="A1:K631"/>
  <sheetViews>
    <sheetView workbookViewId="0">
      <selection activeCell="H3" sqref="H3"/>
    </sheetView>
  </sheetViews>
  <sheetFormatPr baseColWidth="10" defaultRowHeight="14.4" x14ac:dyDescent="0.3"/>
  <cols>
    <col min="2" max="2" width="25.88671875" customWidth="1"/>
    <col min="10" max="11" width="18.88671875" customWidth="1"/>
  </cols>
  <sheetData>
    <row r="1" spans="1:11" x14ac:dyDescent="0.3">
      <c r="A1" s="1" t="s">
        <v>0</v>
      </c>
      <c r="B1" s="1" t="s">
        <v>644</v>
      </c>
      <c r="C1" s="1" t="s">
        <v>1</v>
      </c>
      <c r="D1" s="1" t="s">
        <v>2</v>
      </c>
      <c r="E1" s="1" t="s">
        <v>633</v>
      </c>
      <c r="F1" s="1" t="s">
        <v>634</v>
      </c>
      <c r="G1" s="1" t="s">
        <v>635</v>
      </c>
      <c r="H1" s="1" t="s">
        <v>643</v>
      </c>
      <c r="I1" s="1" t="s">
        <v>636</v>
      </c>
      <c r="J1" s="1" t="s">
        <v>1746</v>
      </c>
      <c r="K1" s="1" t="s">
        <v>1747</v>
      </c>
    </row>
    <row r="2" spans="1:11" x14ac:dyDescent="0.3">
      <c r="A2" t="s">
        <v>382</v>
      </c>
      <c r="B2" t="str">
        <f>IF(Calculator!$B$1="NL",Data!K2,Data!J2)</f>
        <v>A. DELPORTE-NORD_21009A151</v>
      </c>
      <c r="C2">
        <v>542</v>
      </c>
      <c r="D2">
        <v>256</v>
      </c>
      <c r="E2">
        <v>37.779395749999999</v>
      </c>
      <c r="F2">
        <v>0.86403508771929827</v>
      </c>
      <c r="G2">
        <f t="shared" ref="G2:G65" si="0">D2/C2</f>
        <v>0.47232472324723246</v>
      </c>
      <c r="H2">
        <f>0.0281*E2-0.446</f>
        <v>0.61560102057499999</v>
      </c>
      <c r="I2">
        <f>(G2+H2)/2*IF(F2&lt;85%,0.9,IF(F2&gt;100%,1,0.95))</f>
        <v>0.51676472831556042</v>
      </c>
      <c r="J2" t="s">
        <v>647</v>
      </c>
      <c r="K2" t="s">
        <v>1273</v>
      </c>
    </row>
    <row r="3" spans="1:11" x14ac:dyDescent="0.3">
      <c r="A3" t="s">
        <v>417</v>
      </c>
      <c r="B3" t="str">
        <f>IF(Calculator!$B$1="NL",Data!K3,Data!J3)</f>
        <v>A. DELPORTE-SUD_21009A911</v>
      </c>
      <c r="C3">
        <v>908</v>
      </c>
      <c r="D3">
        <v>424</v>
      </c>
      <c r="E3">
        <v>36.430253620000002</v>
      </c>
      <c r="F3">
        <v>0.83774834437086088</v>
      </c>
      <c r="G3">
        <f t="shared" si="0"/>
        <v>0.46696035242290751</v>
      </c>
      <c r="H3">
        <f t="shared" ref="H3:H66" si="1">0.0281*E3-0.446</f>
        <v>0.57769012672200004</v>
      </c>
      <c r="I3">
        <f t="shared" ref="I3:I66" si="2">(G3+H3)/2*IF(F3&lt;85%,0.9,IF(F3&gt;100%,1,0.95))</f>
        <v>0.47009271561520843</v>
      </c>
      <c r="J3" t="s">
        <v>648</v>
      </c>
      <c r="K3" t="s">
        <v>1274</v>
      </c>
    </row>
    <row r="4" spans="1:11" x14ac:dyDescent="0.3">
      <c r="A4" t="s">
        <v>52</v>
      </c>
      <c r="B4" t="str">
        <f>IF(Calculator!$B$1="NL",Data!K4,Data!J4)</f>
        <v>ABATTOIR_21001B17-</v>
      </c>
      <c r="C4">
        <v>460</v>
      </c>
      <c r="D4">
        <v>223</v>
      </c>
      <c r="E4">
        <v>33.910534890000001</v>
      </c>
      <c r="F4">
        <v>0.56060606060606055</v>
      </c>
      <c r="G4">
        <f t="shared" si="0"/>
        <v>0.48478260869565215</v>
      </c>
      <c r="H4">
        <f t="shared" si="1"/>
        <v>0.50688603040899993</v>
      </c>
      <c r="I4">
        <f t="shared" si="2"/>
        <v>0.44625088759709347</v>
      </c>
      <c r="J4" t="s">
        <v>649</v>
      </c>
      <c r="K4" t="s">
        <v>1275</v>
      </c>
    </row>
    <row r="5" spans="1:11" x14ac:dyDescent="0.3">
      <c r="A5" t="s">
        <v>566</v>
      </c>
      <c r="B5" t="str">
        <f>IF(Calculator!$B$1="NL",Data!K5,Data!J5)</f>
        <v>ABELOOS_21018A031</v>
      </c>
      <c r="C5">
        <v>860</v>
      </c>
      <c r="D5">
        <v>509</v>
      </c>
      <c r="E5">
        <v>34.163327250000002</v>
      </c>
      <c r="F5">
        <v>0.86627906976744184</v>
      </c>
      <c r="G5">
        <f t="shared" si="0"/>
        <v>0.5918604651162791</v>
      </c>
      <c r="H5">
        <f t="shared" si="1"/>
        <v>0.51398949572499997</v>
      </c>
      <c r="I5">
        <f t="shared" si="2"/>
        <v>0.52527873139960757</v>
      </c>
      <c r="J5" t="s">
        <v>650</v>
      </c>
      <c r="K5" t="s">
        <v>650</v>
      </c>
    </row>
    <row r="6" spans="1:11" x14ac:dyDescent="0.3">
      <c r="A6" t="s">
        <v>135</v>
      </c>
      <c r="B6" t="str">
        <f>IF(Calculator!$B$1="NL",Data!K6,Data!J6)</f>
        <v>AD. MAX (BOULEVARD)_21004A35-</v>
      </c>
      <c r="C6">
        <v>1057</v>
      </c>
      <c r="D6">
        <v>183</v>
      </c>
      <c r="E6">
        <v>29.66614264</v>
      </c>
      <c r="F6">
        <v>0.2</v>
      </c>
      <c r="G6">
        <f t="shared" si="0"/>
        <v>0.17313150425733206</v>
      </c>
      <c r="H6">
        <f t="shared" si="1"/>
        <v>0.38761860818400001</v>
      </c>
      <c r="I6">
        <f t="shared" si="2"/>
        <v>0.25233755059859947</v>
      </c>
      <c r="J6" t="s">
        <v>651</v>
      </c>
      <c r="K6" t="s">
        <v>1276</v>
      </c>
    </row>
    <row r="7" spans="1:11" x14ac:dyDescent="0.3">
      <c r="A7" t="s">
        <v>47</v>
      </c>
      <c r="B7" t="str">
        <f>IF(Calculator!$B$1="NL",Data!K7,Data!J7)</f>
        <v>AGRAFE-NORBERT GILLE_21001A931</v>
      </c>
      <c r="C7">
        <v>802</v>
      </c>
      <c r="D7">
        <v>420</v>
      </c>
      <c r="E7">
        <v>32.934395950000003</v>
      </c>
      <c r="F7">
        <v>0.73289183222958054</v>
      </c>
      <c r="G7">
        <f t="shared" si="0"/>
        <v>0.52369077306733169</v>
      </c>
      <c r="H7">
        <f t="shared" si="1"/>
        <v>0.47945652619500007</v>
      </c>
      <c r="I7">
        <f t="shared" si="2"/>
        <v>0.45141628466804934</v>
      </c>
      <c r="J7" t="s">
        <v>652</v>
      </c>
      <c r="K7" t="s">
        <v>1277</v>
      </c>
    </row>
    <row r="8" spans="1:11" x14ac:dyDescent="0.3">
      <c r="A8" t="s">
        <v>504</v>
      </c>
      <c r="B8" t="str">
        <f>IF(Calculator!$B$1="NL",Data!K8,Data!J8)</f>
        <v>ALBERT (QUARTIER)_21010A05-</v>
      </c>
      <c r="C8">
        <v>2344</v>
      </c>
      <c r="D8">
        <v>1284</v>
      </c>
      <c r="E8">
        <v>33.949826829999999</v>
      </c>
      <c r="F8">
        <v>0.89008042895442363</v>
      </c>
      <c r="G8">
        <f t="shared" si="0"/>
        <v>0.54778156996587035</v>
      </c>
      <c r="H8">
        <f t="shared" si="1"/>
        <v>0.50799013392299996</v>
      </c>
      <c r="I8">
        <f t="shared" si="2"/>
        <v>0.50149155934721334</v>
      </c>
      <c r="J8" t="s">
        <v>653</v>
      </c>
      <c r="K8" t="s">
        <v>1278</v>
      </c>
    </row>
    <row r="9" spans="1:11" x14ac:dyDescent="0.3">
      <c r="A9" t="s">
        <v>59</v>
      </c>
      <c r="B9" t="str">
        <f>IF(Calculator!$B$1="NL",Data!K9,Data!J9)</f>
        <v>ALBERT I- IMMEUBLES_21001B31-</v>
      </c>
      <c r="C9">
        <v>337</v>
      </c>
      <c r="D9">
        <v>108</v>
      </c>
      <c r="E9">
        <v>31.0451862</v>
      </c>
      <c r="F9">
        <v>0.68199233716475094</v>
      </c>
      <c r="G9">
        <f t="shared" si="0"/>
        <v>0.32047477744807124</v>
      </c>
      <c r="H9">
        <f t="shared" si="1"/>
        <v>0.42636973222000002</v>
      </c>
      <c r="I9">
        <f t="shared" si="2"/>
        <v>0.33608002935063208</v>
      </c>
      <c r="J9" t="s">
        <v>654</v>
      </c>
      <c r="K9" t="s">
        <v>1279</v>
      </c>
    </row>
    <row r="10" spans="1:11" x14ac:dyDescent="0.3">
      <c r="A10" t="s">
        <v>60</v>
      </c>
      <c r="B10" t="str">
        <f>IF(Calculator!$B$1="NL",Data!K10,Data!J10)</f>
        <v>ALBERT I- QUARTIER_21001B321</v>
      </c>
      <c r="C10">
        <v>771</v>
      </c>
      <c r="D10">
        <v>299</v>
      </c>
      <c r="E10">
        <v>34.275262920000003</v>
      </c>
      <c r="F10">
        <v>0.80895522388059704</v>
      </c>
      <c r="G10">
        <f t="shared" si="0"/>
        <v>0.38780804150453957</v>
      </c>
      <c r="H10">
        <f t="shared" si="1"/>
        <v>0.51713488805200014</v>
      </c>
      <c r="I10">
        <f t="shared" si="2"/>
        <v>0.40722431830044287</v>
      </c>
      <c r="J10" t="s">
        <v>655</v>
      </c>
      <c r="K10" t="s">
        <v>1280</v>
      </c>
    </row>
    <row r="11" spans="1:11" x14ac:dyDescent="0.3">
      <c r="A11" t="s">
        <v>112</v>
      </c>
      <c r="B11" t="str">
        <f>IF(Calculator!$B$1="NL",Data!K11,Data!J11)</f>
        <v>ALLEE VERTE_21003A331</v>
      </c>
      <c r="C11">
        <v>293</v>
      </c>
      <c r="D11">
        <v>229</v>
      </c>
      <c r="E11">
        <v>40.65701275</v>
      </c>
      <c r="F11">
        <v>0.83720930232558144</v>
      </c>
      <c r="G11">
        <f t="shared" si="0"/>
        <v>0.78156996587030714</v>
      </c>
      <c r="H11">
        <f t="shared" si="1"/>
        <v>0.69646205827500007</v>
      </c>
      <c r="I11">
        <f t="shared" si="2"/>
        <v>0.66511441086538836</v>
      </c>
      <c r="J11" t="s">
        <v>656</v>
      </c>
      <c r="K11" t="s">
        <v>1281</v>
      </c>
    </row>
    <row r="12" spans="1:11" x14ac:dyDescent="0.3">
      <c r="A12" t="s">
        <v>168</v>
      </c>
      <c r="B12" t="str">
        <f>IF(Calculator!$B$1="NL",Data!K12,Data!J12)</f>
        <v>ALLEE VERTE - BASSIN VERGOTE_21004D631</v>
      </c>
      <c r="C12">
        <v>723</v>
      </c>
      <c r="D12">
        <v>354</v>
      </c>
      <c r="E12">
        <v>35.427607979999998</v>
      </c>
      <c r="F12">
        <v>0.49111111111111111</v>
      </c>
      <c r="G12">
        <f t="shared" si="0"/>
        <v>0.48962655601659749</v>
      </c>
      <c r="H12">
        <f t="shared" si="1"/>
        <v>0.54951578423799985</v>
      </c>
      <c r="I12">
        <f t="shared" si="2"/>
        <v>0.46761405311456883</v>
      </c>
      <c r="J12" t="s">
        <v>657</v>
      </c>
      <c r="K12" t="s">
        <v>1282</v>
      </c>
    </row>
    <row r="13" spans="1:11" x14ac:dyDescent="0.3">
      <c r="A13" t="s">
        <v>274</v>
      </c>
      <c r="B13" t="str">
        <f>IF(Calculator!$B$1="NL",Data!K13,Data!J13)</f>
        <v>ALPHONSE XIII_21016A410</v>
      </c>
      <c r="C13">
        <v>394</v>
      </c>
      <c r="D13">
        <v>426</v>
      </c>
      <c r="E13">
        <v>44.385431709999999</v>
      </c>
      <c r="F13">
        <v>0.49767441860465123</v>
      </c>
      <c r="G13">
        <f t="shared" si="0"/>
        <v>1.0812182741116751</v>
      </c>
      <c r="H13">
        <f t="shared" si="1"/>
        <v>0.80123063105100001</v>
      </c>
      <c r="I13">
        <f t="shared" si="2"/>
        <v>0.84710200732320384</v>
      </c>
      <c r="J13" t="s">
        <v>658</v>
      </c>
      <c r="K13" t="s">
        <v>658</v>
      </c>
    </row>
    <row r="14" spans="1:11" x14ac:dyDescent="0.3">
      <c r="A14" t="s">
        <v>259</v>
      </c>
      <c r="B14" t="str">
        <f>IF(Calculator!$B$1="NL",Data!K14,Data!J14)</f>
        <v>ALSEMBERG-NORD_21016A02-</v>
      </c>
      <c r="C14">
        <v>1947</v>
      </c>
      <c r="D14">
        <v>849</v>
      </c>
      <c r="E14">
        <v>40.235467270000001</v>
      </c>
      <c r="F14">
        <v>0.68062827225130895</v>
      </c>
      <c r="G14">
        <f t="shared" si="0"/>
        <v>0.43605546995377503</v>
      </c>
      <c r="H14">
        <f t="shared" si="1"/>
        <v>0.68461663028700004</v>
      </c>
      <c r="I14">
        <f t="shared" si="2"/>
        <v>0.50430244510834887</v>
      </c>
      <c r="J14" t="s">
        <v>659</v>
      </c>
      <c r="K14" t="s">
        <v>1283</v>
      </c>
    </row>
    <row r="15" spans="1:11" x14ac:dyDescent="0.3">
      <c r="A15" t="s">
        <v>285</v>
      </c>
      <c r="B15" t="str">
        <f>IF(Calculator!$B$1="NL",Data!K15,Data!J15)</f>
        <v>ALSEMBERG-SUD_21016A65-</v>
      </c>
      <c r="C15">
        <v>466</v>
      </c>
      <c r="D15">
        <v>334</v>
      </c>
      <c r="E15">
        <v>44.071787899999997</v>
      </c>
      <c r="F15">
        <v>0.3660477453580902</v>
      </c>
      <c r="G15">
        <f t="shared" si="0"/>
        <v>0.71673819742489275</v>
      </c>
      <c r="H15">
        <f t="shared" si="1"/>
        <v>0.79241723999000002</v>
      </c>
      <c r="I15">
        <f t="shared" si="2"/>
        <v>0.67911994683670174</v>
      </c>
      <c r="J15" t="s">
        <v>660</v>
      </c>
      <c r="K15" t="s">
        <v>1284</v>
      </c>
    </row>
    <row r="16" spans="1:11" x14ac:dyDescent="0.3">
      <c r="A16" t="s">
        <v>446</v>
      </c>
      <c r="B16" t="str">
        <f>IF(Calculator!$B$1="NL",Data!K16,Data!J16)</f>
        <v>ALTITUDE  CENT_21007A70-</v>
      </c>
      <c r="C16">
        <v>1716</v>
      </c>
      <c r="D16">
        <v>930</v>
      </c>
      <c r="E16">
        <v>38.007203160000003</v>
      </c>
      <c r="F16">
        <v>0.94952681388012616</v>
      </c>
      <c r="G16">
        <f t="shared" si="0"/>
        <v>0.54195804195804198</v>
      </c>
      <c r="H16">
        <f t="shared" si="1"/>
        <v>0.62200240879600011</v>
      </c>
      <c r="I16">
        <f t="shared" si="2"/>
        <v>0.55288121410816993</v>
      </c>
      <c r="J16" t="s">
        <v>661</v>
      </c>
      <c r="K16" t="s">
        <v>1285</v>
      </c>
    </row>
    <row r="17" spans="1:11" x14ac:dyDescent="0.3">
      <c r="A17" t="s">
        <v>351</v>
      </c>
      <c r="B17" t="str">
        <f>IF(Calculator!$B$1="NL",Data!K17,Data!J17)</f>
        <v>AMAZONE (RUE DE)_21013A031</v>
      </c>
      <c r="C17">
        <v>854</v>
      </c>
      <c r="D17">
        <v>357</v>
      </c>
      <c r="E17">
        <v>30.453416090000001</v>
      </c>
      <c r="F17">
        <v>0.72887323943661975</v>
      </c>
      <c r="G17">
        <f t="shared" si="0"/>
        <v>0.41803278688524592</v>
      </c>
      <c r="H17">
        <f t="shared" si="1"/>
        <v>0.409740992129</v>
      </c>
      <c r="I17">
        <f t="shared" si="2"/>
        <v>0.37249820055641064</v>
      </c>
      <c r="J17" t="s">
        <v>662</v>
      </c>
      <c r="K17" t="s">
        <v>1286</v>
      </c>
    </row>
    <row r="18" spans="1:11" x14ac:dyDescent="0.3">
      <c r="A18" t="s">
        <v>151</v>
      </c>
      <c r="B18" t="str">
        <f>IF(Calculator!$B$1="NL",Data!K18,Data!J18)</f>
        <v>AMBIORIX-NORD (SQUARE)_21004B43-</v>
      </c>
      <c r="C18">
        <v>3049</v>
      </c>
      <c r="D18">
        <v>1131</v>
      </c>
      <c r="E18">
        <v>31.711547199999998</v>
      </c>
      <c r="F18">
        <v>0.75921375921375922</v>
      </c>
      <c r="G18">
        <f t="shared" si="0"/>
        <v>0.37094129222695965</v>
      </c>
      <c r="H18">
        <f t="shared" si="1"/>
        <v>0.44509447631999993</v>
      </c>
      <c r="I18">
        <f t="shared" si="2"/>
        <v>0.3672160958461318</v>
      </c>
      <c r="J18" t="s">
        <v>663</v>
      </c>
      <c r="K18" t="s">
        <v>1287</v>
      </c>
    </row>
    <row r="19" spans="1:11" x14ac:dyDescent="0.3">
      <c r="A19" t="s">
        <v>152</v>
      </c>
      <c r="B19" t="str">
        <f>IF(Calculator!$B$1="NL",Data!K19,Data!J19)</f>
        <v>AMBIORIX-SUD (SQUARE)_21004B44-</v>
      </c>
      <c r="C19">
        <v>1977</v>
      </c>
      <c r="D19">
        <v>672</v>
      </c>
      <c r="E19">
        <v>30.944259389999999</v>
      </c>
      <c r="F19">
        <v>0.64240903387703885</v>
      </c>
      <c r="G19">
        <f t="shared" si="0"/>
        <v>0.33990895295902884</v>
      </c>
      <c r="H19">
        <f t="shared" si="1"/>
        <v>0.42353368885899995</v>
      </c>
      <c r="I19">
        <f t="shared" si="2"/>
        <v>0.34354918881811297</v>
      </c>
      <c r="J19" t="s">
        <v>664</v>
      </c>
      <c r="K19" t="s">
        <v>1288</v>
      </c>
    </row>
    <row r="20" spans="1:11" x14ac:dyDescent="0.3">
      <c r="A20" t="s">
        <v>89</v>
      </c>
      <c r="B20" t="str">
        <f>IF(Calculator!$B$1="NL",Data!K20,Data!J20)</f>
        <v>AMITIE (PLACE DE L')_21002A311</v>
      </c>
      <c r="C20">
        <v>461</v>
      </c>
      <c r="D20">
        <v>315</v>
      </c>
      <c r="E20">
        <v>34.30614293</v>
      </c>
      <c r="F20">
        <v>0.82442748091603058</v>
      </c>
      <c r="G20">
        <f t="shared" si="0"/>
        <v>0.68329718004338391</v>
      </c>
      <c r="H20">
        <f t="shared" si="1"/>
        <v>0.51800261633300004</v>
      </c>
      <c r="I20">
        <f t="shared" si="2"/>
        <v>0.5405849083693729</v>
      </c>
      <c r="J20" t="s">
        <v>665</v>
      </c>
      <c r="K20" t="s">
        <v>1289</v>
      </c>
    </row>
    <row r="21" spans="1:11" x14ac:dyDescent="0.3">
      <c r="A21" t="s">
        <v>466</v>
      </c>
      <c r="B21" t="str">
        <f>IF(Calculator!$B$1="NL",Data!K21,Data!J21)</f>
        <v>ANCIEN COMBATTANTS (AVENUE)_21006A171</v>
      </c>
      <c r="C21">
        <v>563</v>
      </c>
      <c r="D21">
        <v>271</v>
      </c>
      <c r="E21">
        <v>35.504448789999998</v>
      </c>
      <c r="F21">
        <v>0.207185628742515</v>
      </c>
      <c r="G21">
        <f t="shared" si="0"/>
        <v>0.48134991119005327</v>
      </c>
      <c r="H21">
        <f t="shared" si="1"/>
        <v>0.55167501099899985</v>
      </c>
      <c r="I21">
        <f t="shared" si="2"/>
        <v>0.46486121498507388</v>
      </c>
      <c r="J21" t="s">
        <v>666</v>
      </c>
      <c r="K21" t="s">
        <v>1290</v>
      </c>
    </row>
    <row r="22" spans="1:11" x14ac:dyDescent="0.3">
      <c r="A22" t="s">
        <v>505</v>
      </c>
      <c r="B22" t="str">
        <f>IF(Calculator!$B$1="NL",Data!K22,Data!J22)</f>
        <v>ANCIENNE BARRIERE_21010A10-</v>
      </c>
      <c r="C22">
        <v>972</v>
      </c>
      <c r="D22">
        <v>651</v>
      </c>
      <c r="E22">
        <v>38.862479219999997</v>
      </c>
      <c r="F22">
        <v>0.85111662531017374</v>
      </c>
      <c r="G22">
        <f t="shared" si="0"/>
        <v>0.66975308641975306</v>
      </c>
      <c r="H22">
        <f t="shared" si="1"/>
        <v>0.64603566608199992</v>
      </c>
      <c r="I22">
        <f t="shared" si="2"/>
        <v>0.62499965743833263</v>
      </c>
      <c r="J22" t="s">
        <v>667</v>
      </c>
      <c r="K22" t="s">
        <v>1291</v>
      </c>
    </row>
    <row r="23" spans="1:11" x14ac:dyDescent="0.3">
      <c r="A23" t="s">
        <v>360</v>
      </c>
      <c r="B23" t="str">
        <f>IF(Calculator!$B$1="NL",Data!K23,Data!J23)</f>
        <v>ANGLETERRE (RUE D')_21013A201</v>
      </c>
      <c r="C23">
        <v>1147</v>
      </c>
      <c r="D23">
        <v>351</v>
      </c>
      <c r="E23">
        <v>25.40912114</v>
      </c>
      <c r="F23">
        <v>0.77073170731707319</v>
      </c>
      <c r="G23">
        <f t="shared" si="0"/>
        <v>0.30601569311246729</v>
      </c>
      <c r="H23">
        <f t="shared" si="1"/>
        <v>0.26799630403400004</v>
      </c>
      <c r="I23">
        <f t="shared" si="2"/>
        <v>0.25830539871591029</v>
      </c>
      <c r="J23" t="s">
        <v>668</v>
      </c>
      <c r="K23" t="s">
        <v>1292</v>
      </c>
    </row>
    <row r="24" spans="1:11" x14ac:dyDescent="0.3">
      <c r="A24" t="s">
        <v>127</v>
      </c>
      <c r="B24" t="str">
        <f>IF(Calculator!$B$1="NL",Data!K24,Data!J24)</f>
        <v>ANNEESSENS (PLACE)_21004A21-</v>
      </c>
      <c r="C24">
        <v>2973</v>
      </c>
      <c r="D24">
        <v>806</v>
      </c>
      <c r="E24">
        <v>30.454334200000002</v>
      </c>
      <c r="F24">
        <v>0.73250564334085777</v>
      </c>
      <c r="G24">
        <f t="shared" si="0"/>
        <v>0.27110662630339727</v>
      </c>
      <c r="H24">
        <f t="shared" si="1"/>
        <v>0.40976679102000008</v>
      </c>
      <c r="I24">
        <f t="shared" si="2"/>
        <v>0.30639303779552879</v>
      </c>
      <c r="J24" t="s">
        <v>669</v>
      </c>
      <c r="K24" t="s">
        <v>1293</v>
      </c>
    </row>
    <row r="25" spans="1:11" x14ac:dyDescent="0.3">
      <c r="A25" t="s">
        <v>167</v>
      </c>
      <c r="B25" t="str">
        <f>IF(Calculator!$B$1="NL",Data!K25,Data!J25)</f>
        <v>ANVERS (CHAUSSEE D')-NORD_21004D62-</v>
      </c>
      <c r="C25">
        <v>1986</v>
      </c>
      <c r="D25">
        <v>605</v>
      </c>
      <c r="E25">
        <v>36.25913087</v>
      </c>
      <c r="F25">
        <v>0.84867394695787834</v>
      </c>
      <c r="G25">
        <f t="shared" si="0"/>
        <v>0.30463242698892246</v>
      </c>
      <c r="H25">
        <f t="shared" si="1"/>
        <v>0.57288157744699997</v>
      </c>
      <c r="I25">
        <f t="shared" si="2"/>
        <v>0.39488130199616511</v>
      </c>
      <c r="J25" t="s">
        <v>670</v>
      </c>
      <c r="K25" t="s">
        <v>1294</v>
      </c>
    </row>
    <row r="26" spans="1:11" x14ac:dyDescent="0.3">
      <c r="A26" t="s">
        <v>166</v>
      </c>
      <c r="B26" t="str">
        <f>IF(Calculator!$B$1="NL",Data!K26,Data!J26)</f>
        <v>ANVERS (CHAUSSEE D')-SUD_21004D610</v>
      </c>
      <c r="C26">
        <v>1144</v>
      </c>
      <c r="D26">
        <v>437</v>
      </c>
      <c r="E26">
        <v>30.700578289999999</v>
      </c>
      <c r="F26">
        <v>0.65485362095531585</v>
      </c>
      <c r="G26">
        <f t="shared" si="0"/>
        <v>0.38199300699300698</v>
      </c>
      <c r="H26">
        <f t="shared" si="1"/>
        <v>0.416686249949</v>
      </c>
      <c r="I26">
        <f t="shared" si="2"/>
        <v>0.35940566562390314</v>
      </c>
      <c r="J26" t="s">
        <v>671</v>
      </c>
      <c r="K26" t="s">
        <v>1295</v>
      </c>
    </row>
    <row r="27" spans="1:11" x14ac:dyDescent="0.3">
      <c r="A27" t="s">
        <v>22</v>
      </c>
      <c r="B27" t="str">
        <f>IF(Calculator!$B$1="NL",Data!K27,Data!J27)</f>
        <v>ARBORETUM_21001A401</v>
      </c>
      <c r="C27">
        <v>377</v>
      </c>
      <c r="D27">
        <v>240</v>
      </c>
      <c r="E27">
        <v>36.71001811</v>
      </c>
      <c r="F27">
        <v>0.7870967741935484</v>
      </c>
      <c r="G27">
        <f t="shared" si="0"/>
        <v>0.63660477453580899</v>
      </c>
      <c r="H27">
        <f t="shared" si="1"/>
        <v>0.58555150889099994</v>
      </c>
      <c r="I27">
        <f t="shared" si="2"/>
        <v>0.54997032754206399</v>
      </c>
      <c r="J27" t="s">
        <v>672</v>
      </c>
      <c r="K27" t="s">
        <v>672</v>
      </c>
    </row>
    <row r="28" spans="1:11" x14ac:dyDescent="0.3">
      <c r="A28" t="s">
        <v>510</v>
      </c>
      <c r="B28" t="str">
        <f>IF(Calculator!$B$1="NL",Data!K28,Data!J28)</f>
        <v>ARBRE BALLON_21010A1AJ</v>
      </c>
      <c r="C28">
        <v>1266</v>
      </c>
      <c r="D28">
        <v>1172</v>
      </c>
      <c r="E28">
        <v>42.37602296</v>
      </c>
      <c r="F28">
        <v>0.64814814814814814</v>
      </c>
      <c r="G28">
        <f t="shared" si="0"/>
        <v>0.92575039494470779</v>
      </c>
      <c r="H28">
        <f t="shared" si="1"/>
        <v>0.74476624517599999</v>
      </c>
      <c r="I28">
        <f t="shared" si="2"/>
        <v>0.75173248805431847</v>
      </c>
      <c r="J28" t="s">
        <v>673</v>
      </c>
      <c r="K28" t="s">
        <v>1296</v>
      </c>
    </row>
    <row r="29" spans="1:11" x14ac:dyDescent="0.3">
      <c r="A29" t="s">
        <v>376</v>
      </c>
      <c r="B29" t="str">
        <f>IF(Calculator!$B$1="NL",Data!K29,Data!J29)</f>
        <v>ARBRE BENIT_21009A041</v>
      </c>
      <c r="C29">
        <v>1843</v>
      </c>
      <c r="D29">
        <v>595</v>
      </c>
      <c r="E29">
        <v>35.361835689999999</v>
      </c>
      <c r="F29">
        <v>0.73576309794988615</v>
      </c>
      <c r="G29">
        <f t="shared" si="0"/>
        <v>0.3228431904503527</v>
      </c>
      <c r="H29">
        <f t="shared" si="1"/>
        <v>0.54766758288900008</v>
      </c>
      <c r="I29">
        <f t="shared" si="2"/>
        <v>0.39172984800270877</v>
      </c>
      <c r="J29" t="s">
        <v>674</v>
      </c>
      <c r="K29" t="s">
        <v>1297</v>
      </c>
    </row>
    <row r="30" spans="1:11" x14ac:dyDescent="0.3">
      <c r="A30" t="s">
        <v>332</v>
      </c>
      <c r="B30" t="str">
        <f>IF(Calculator!$B$1="NL",Data!K30,Data!J30)</f>
        <v>ARCHERS - FOUREZ_21011A30-</v>
      </c>
      <c r="C30">
        <v>1091</v>
      </c>
      <c r="D30">
        <v>519</v>
      </c>
      <c r="E30">
        <v>26.642699969999999</v>
      </c>
      <c r="F30">
        <v>0.80963302752293576</v>
      </c>
      <c r="G30">
        <f t="shared" si="0"/>
        <v>0.47571035747021084</v>
      </c>
      <c r="H30">
        <f t="shared" si="1"/>
        <v>0.30265986915699999</v>
      </c>
      <c r="I30">
        <f t="shared" si="2"/>
        <v>0.35026660198224485</v>
      </c>
      <c r="J30" t="s">
        <v>675</v>
      </c>
      <c r="K30" t="s">
        <v>1298</v>
      </c>
    </row>
    <row r="31" spans="1:11" x14ac:dyDescent="0.3">
      <c r="A31" t="s">
        <v>491</v>
      </c>
      <c r="B31" t="str">
        <f>IF(Calculator!$B$1="NL",Data!K31,Data!J31)</f>
        <v>ARMEE (AVENUE DE L')_21005A14-</v>
      </c>
      <c r="C31">
        <v>1941</v>
      </c>
      <c r="D31">
        <v>968</v>
      </c>
      <c r="E31">
        <v>30.019040260000001</v>
      </c>
      <c r="F31">
        <v>0.88427672955974845</v>
      </c>
      <c r="G31">
        <f t="shared" si="0"/>
        <v>0.49871200412158684</v>
      </c>
      <c r="H31">
        <f t="shared" si="1"/>
        <v>0.39753503130600004</v>
      </c>
      <c r="I31">
        <f t="shared" si="2"/>
        <v>0.42571734182810372</v>
      </c>
      <c r="J31" t="s">
        <v>676</v>
      </c>
      <c r="K31" t="s">
        <v>1299</v>
      </c>
    </row>
    <row r="32" spans="1:11" x14ac:dyDescent="0.3">
      <c r="A32" t="s">
        <v>266</v>
      </c>
      <c r="B32" t="str">
        <f>IF(Calculator!$B$1="NL",Data!K32,Data!J32)</f>
        <v>ASTRONOMES_21016A214</v>
      </c>
      <c r="C32">
        <v>240</v>
      </c>
      <c r="D32">
        <v>168</v>
      </c>
      <c r="E32">
        <v>42.000928620000003</v>
      </c>
      <c r="F32">
        <v>0.6785714285714286</v>
      </c>
      <c r="G32">
        <f t="shared" si="0"/>
        <v>0.7</v>
      </c>
      <c r="H32">
        <f t="shared" si="1"/>
        <v>0.73422609422200025</v>
      </c>
      <c r="I32">
        <f t="shared" si="2"/>
        <v>0.64540174239990011</v>
      </c>
      <c r="J32" t="s">
        <v>677</v>
      </c>
      <c r="K32" t="s">
        <v>1300</v>
      </c>
    </row>
    <row r="33" spans="1:11" x14ac:dyDescent="0.3">
      <c r="A33" t="s">
        <v>43</v>
      </c>
      <c r="B33" t="str">
        <f>IF(Calculator!$B$1="NL",Data!K33,Data!J33)</f>
        <v>AUBADE_21001A85-</v>
      </c>
      <c r="C33">
        <v>271</v>
      </c>
      <c r="D33">
        <v>185</v>
      </c>
      <c r="E33">
        <v>36.405132989999998</v>
      </c>
      <c r="F33">
        <v>1.0129870129870131</v>
      </c>
      <c r="G33">
        <f t="shared" si="0"/>
        <v>0.68265682656826565</v>
      </c>
      <c r="H33">
        <f t="shared" si="1"/>
        <v>0.57698423701899992</v>
      </c>
      <c r="I33">
        <f t="shared" si="2"/>
        <v>0.62982053179363273</v>
      </c>
      <c r="J33" t="s">
        <v>678</v>
      </c>
      <c r="K33" t="s">
        <v>678</v>
      </c>
    </row>
    <row r="34" spans="1:11" x14ac:dyDescent="0.3">
      <c r="A34" t="s">
        <v>18</v>
      </c>
      <c r="B34" t="str">
        <f>IF(Calculator!$B$1="NL",Data!K34,Data!J34)</f>
        <v>AURORE_21001A32-</v>
      </c>
      <c r="C34">
        <v>2022</v>
      </c>
      <c r="D34">
        <v>1051</v>
      </c>
      <c r="E34">
        <v>36.869604039999999</v>
      </c>
      <c r="F34">
        <v>0.89622641509433965</v>
      </c>
      <c r="G34">
        <f t="shared" si="0"/>
        <v>0.51978239366963408</v>
      </c>
      <c r="H34">
        <f t="shared" si="1"/>
        <v>0.59003587352400011</v>
      </c>
      <c r="I34">
        <f t="shared" si="2"/>
        <v>0.52716367691697619</v>
      </c>
      <c r="J34" t="s">
        <v>679</v>
      </c>
      <c r="K34" t="s">
        <v>1301</v>
      </c>
    </row>
    <row r="35" spans="1:11" x14ac:dyDescent="0.3">
      <c r="A35" t="s">
        <v>86</v>
      </c>
      <c r="B35" t="str">
        <f>IF(Calculator!$B$1="NL",Data!K35,Data!J35)</f>
        <v>AVENUE DE BROUCKERE_21002A24-</v>
      </c>
      <c r="C35">
        <v>651</v>
      </c>
      <c r="D35">
        <v>400</v>
      </c>
      <c r="E35">
        <v>40.580566990000001</v>
      </c>
      <c r="F35">
        <v>0.8597560975609756</v>
      </c>
      <c r="G35">
        <f t="shared" si="0"/>
        <v>0.61443932411674351</v>
      </c>
      <c r="H35">
        <f t="shared" si="1"/>
        <v>0.69431393241900019</v>
      </c>
      <c r="I35">
        <f t="shared" si="2"/>
        <v>0.6216577968544782</v>
      </c>
      <c r="J35" t="s">
        <v>680</v>
      </c>
      <c r="K35" t="s">
        <v>1302</v>
      </c>
    </row>
    <row r="36" spans="1:11" x14ac:dyDescent="0.3">
      <c r="A36" t="s">
        <v>310</v>
      </c>
      <c r="B36" t="str">
        <f>IF(Calculator!$B$1="NL",Data!K36,Data!J36)</f>
        <v>AVENUE DE LA TENDERIE_21017A212</v>
      </c>
      <c r="C36">
        <v>872</v>
      </c>
      <c r="D36">
        <v>834</v>
      </c>
      <c r="E36">
        <v>50.428554589999997</v>
      </c>
      <c r="F36">
        <v>0.62990196078431371</v>
      </c>
      <c r="G36">
        <f t="shared" si="0"/>
        <v>0.95642201834862384</v>
      </c>
      <c r="H36">
        <f t="shared" si="1"/>
        <v>0.97104238397899989</v>
      </c>
      <c r="I36">
        <f t="shared" si="2"/>
        <v>0.8673589810474307</v>
      </c>
      <c r="J36" t="s">
        <v>681</v>
      </c>
      <c r="K36" t="s">
        <v>1303</v>
      </c>
    </row>
    <row r="37" spans="1:11" x14ac:dyDescent="0.3">
      <c r="A37" t="s">
        <v>190</v>
      </c>
      <c r="B37" t="str">
        <f>IF(Calculator!$B$1="NL",Data!K37,Data!J37)</f>
        <v>AVENUE DE VERSAILLES_21004F522</v>
      </c>
      <c r="C37">
        <v>1116</v>
      </c>
      <c r="D37">
        <v>967</v>
      </c>
      <c r="E37">
        <v>46.917201990000002</v>
      </c>
      <c r="F37">
        <v>0.69148936170212771</v>
      </c>
      <c r="G37">
        <f t="shared" si="0"/>
        <v>0.86648745519713266</v>
      </c>
      <c r="H37">
        <f t="shared" si="1"/>
        <v>0.87237337591900022</v>
      </c>
      <c r="I37">
        <f t="shared" si="2"/>
        <v>0.78248737400225976</v>
      </c>
      <c r="J37" t="s">
        <v>682</v>
      </c>
      <c r="K37" t="s">
        <v>1304</v>
      </c>
    </row>
    <row r="38" spans="1:11" x14ac:dyDescent="0.3">
      <c r="A38" t="s">
        <v>314</v>
      </c>
      <c r="B38" t="str">
        <f>IF(Calculator!$B$1="NL",Data!K38,Data!J38)</f>
        <v>AVENUE DE VISE_21017A41-</v>
      </c>
      <c r="C38">
        <v>739</v>
      </c>
      <c r="D38">
        <v>544</v>
      </c>
      <c r="E38">
        <v>38.611001829999999</v>
      </c>
      <c r="F38">
        <v>0.89008042895442363</v>
      </c>
      <c r="G38">
        <f t="shared" si="0"/>
        <v>0.73612990527740185</v>
      </c>
      <c r="H38">
        <f t="shared" si="1"/>
        <v>0.63896915142300004</v>
      </c>
      <c r="I38">
        <f t="shared" si="2"/>
        <v>0.65317205193269079</v>
      </c>
      <c r="J38" t="s">
        <v>683</v>
      </c>
      <c r="K38" t="s">
        <v>1305</v>
      </c>
    </row>
    <row r="39" spans="1:11" x14ac:dyDescent="0.3">
      <c r="A39" t="s">
        <v>189</v>
      </c>
      <c r="B39" t="str">
        <f>IF(Calculator!$B$1="NL",Data!K39,Data!J39)</f>
        <v>AVENUE DES PAGODES_21004F511</v>
      </c>
      <c r="C39">
        <v>764</v>
      </c>
      <c r="D39">
        <v>618</v>
      </c>
      <c r="E39">
        <v>44.106360019999997</v>
      </c>
      <c r="F39">
        <v>0.75483870967741939</v>
      </c>
      <c r="G39">
        <f t="shared" si="0"/>
        <v>0.80890052356020947</v>
      </c>
      <c r="H39">
        <f t="shared" si="1"/>
        <v>0.79338871656199994</v>
      </c>
      <c r="I39">
        <f t="shared" si="2"/>
        <v>0.72103015805499426</v>
      </c>
      <c r="J39" t="s">
        <v>684</v>
      </c>
      <c r="K39" t="s">
        <v>1306</v>
      </c>
    </row>
    <row r="40" spans="1:11" x14ac:dyDescent="0.3">
      <c r="A40" t="s">
        <v>163</v>
      </c>
      <c r="B40" t="str">
        <f>IF(Calculator!$B$1="NL",Data!K40,Data!J40)</f>
        <v>AVENUE FRANKLIN ROOSEVELT_21004C642</v>
      </c>
      <c r="C40">
        <v>212</v>
      </c>
      <c r="D40">
        <v>141</v>
      </c>
      <c r="E40">
        <v>38.55684042</v>
      </c>
      <c r="F40">
        <v>0.1746724890829694</v>
      </c>
      <c r="G40">
        <f t="shared" si="0"/>
        <v>0.66509433962264153</v>
      </c>
      <c r="H40">
        <f t="shared" si="1"/>
        <v>0.63744721580200014</v>
      </c>
      <c r="I40">
        <f t="shared" si="2"/>
        <v>0.58614369994108872</v>
      </c>
      <c r="J40" t="s">
        <v>685</v>
      </c>
      <c r="K40" t="s">
        <v>1307</v>
      </c>
    </row>
    <row r="41" spans="1:11" x14ac:dyDescent="0.3">
      <c r="A41" t="s">
        <v>177</v>
      </c>
      <c r="B41" t="str">
        <f>IF(Calculator!$B$1="NL",Data!K41,Data!J41)</f>
        <v>AVENUE JEAN DE BOLOGNE_21004E201</v>
      </c>
      <c r="C41">
        <v>2488</v>
      </c>
      <c r="D41">
        <v>1665</v>
      </c>
      <c r="E41">
        <v>38.596933210000003</v>
      </c>
      <c r="F41">
        <v>0.85317460317460314</v>
      </c>
      <c r="G41">
        <f t="shared" si="0"/>
        <v>0.66921221864951763</v>
      </c>
      <c r="H41">
        <f t="shared" si="1"/>
        <v>0.63857382320100009</v>
      </c>
      <c r="I41">
        <f t="shared" si="2"/>
        <v>0.6211983698789959</v>
      </c>
      <c r="J41" t="s">
        <v>1748</v>
      </c>
      <c r="K41" t="s">
        <v>1749</v>
      </c>
    </row>
    <row r="42" spans="1:11" x14ac:dyDescent="0.3">
      <c r="A42" t="s">
        <v>78</v>
      </c>
      <c r="B42" t="str">
        <f>IF(Calculator!$B$1="NL",Data!K42,Data!J42)</f>
        <v>AVENUE SCHALLER_21002A12-</v>
      </c>
      <c r="C42">
        <v>585</v>
      </c>
      <c r="D42">
        <v>648</v>
      </c>
      <c r="E42">
        <v>48.478965019999997</v>
      </c>
      <c r="F42">
        <v>0.59701492537313428</v>
      </c>
      <c r="G42">
        <f t="shared" si="0"/>
        <v>1.1076923076923078</v>
      </c>
      <c r="H42">
        <f t="shared" si="1"/>
        <v>0.91625891706199991</v>
      </c>
      <c r="I42">
        <f t="shared" si="2"/>
        <v>0.91077805113943855</v>
      </c>
      <c r="J42" t="s">
        <v>686</v>
      </c>
      <c r="K42" t="s">
        <v>1308</v>
      </c>
    </row>
    <row r="43" spans="1:11" x14ac:dyDescent="0.3">
      <c r="A43" t="s">
        <v>217</v>
      </c>
      <c r="B43" t="str">
        <f>IF(Calculator!$B$1="NL",Data!K43,Data!J43)</f>
        <v>BAECK_21012A20-</v>
      </c>
      <c r="C43">
        <v>831</v>
      </c>
      <c r="D43">
        <v>472</v>
      </c>
      <c r="E43">
        <v>29.56948276</v>
      </c>
      <c r="F43">
        <v>0.73796791443850263</v>
      </c>
      <c r="G43">
        <f t="shared" si="0"/>
        <v>0.56799037304452471</v>
      </c>
      <c r="H43">
        <f t="shared" si="1"/>
        <v>0.384902465556</v>
      </c>
      <c r="I43">
        <f t="shared" si="2"/>
        <v>0.42880177737023611</v>
      </c>
      <c r="J43" t="s">
        <v>687</v>
      </c>
      <c r="K43" t="s">
        <v>687</v>
      </c>
    </row>
    <row r="44" spans="1:11" x14ac:dyDescent="0.3">
      <c r="A44" t="s">
        <v>512</v>
      </c>
      <c r="B44" t="str">
        <f>IF(Calculator!$B$1="NL",Data!K44,Data!J44)</f>
        <v>BAECK DUPRE_21010A312</v>
      </c>
      <c r="C44">
        <v>416</v>
      </c>
      <c r="D44">
        <v>242</v>
      </c>
      <c r="E44">
        <v>35.749337410000003</v>
      </c>
      <c r="F44">
        <v>0.74551971326164879</v>
      </c>
      <c r="G44">
        <f t="shared" si="0"/>
        <v>0.58173076923076927</v>
      </c>
      <c r="H44">
        <f t="shared" si="1"/>
        <v>0.55855638122100015</v>
      </c>
      <c r="I44">
        <f t="shared" si="2"/>
        <v>0.51312921770329634</v>
      </c>
      <c r="J44" t="s">
        <v>688</v>
      </c>
      <c r="K44" t="s">
        <v>688</v>
      </c>
    </row>
    <row r="45" spans="1:11" x14ac:dyDescent="0.3">
      <c r="A45" t="s">
        <v>366</v>
      </c>
      <c r="B45" t="str">
        <f>IF(Calculator!$B$1="NL",Data!K45,Data!J45)</f>
        <v>BARRIERE_21013A40-</v>
      </c>
      <c r="C45">
        <v>1040</v>
      </c>
      <c r="D45">
        <v>317</v>
      </c>
      <c r="E45">
        <v>28.796174959999998</v>
      </c>
      <c r="F45">
        <v>0.68639053254437865</v>
      </c>
      <c r="G45">
        <f t="shared" si="0"/>
        <v>0.30480769230769234</v>
      </c>
      <c r="H45">
        <f t="shared" si="1"/>
        <v>0.36317251637599995</v>
      </c>
      <c r="I45">
        <f t="shared" si="2"/>
        <v>0.30059109390766159</v>
      </c>
      <c r="J45" t="s">
        <v>689</v>
      </c>
      <c r="K45" t="s">
        <v>1309</v>
      </c>
    </row>
    <row r="46" spans="1:11" x14ac:dyDescent="0.3">
      <c r="A46" t="s">
        <v>292</v>
      </c>
      <c r="B46" t="str">
        <f>IF(Calculator!$B$1="NL",Data!K46,Data!J46)</f>
        <v>BASCULE_21016A81-</v>
      </c>
      <c r="C46">
        <v>1719</v>
      </c>
      <c r="D46">
        <v>968</v>
      </c>
      <c r="E46">
        <v>40.504401129999998</v>
      </c>
      <c r="F46">
        <v>0.84946236559139787</v>
      </c>
      <c r="G46">
        <f t="shared" si="0"/>
        <v>0.56311809191390338</v>
      </c>
      <c r="H46">
        <f t="shared" si="1"/>
        <v>0.69217367175300004</v>
      </c>
      <c r="I46">
        <f t="shared" si="2"/>
        <v>0.56488129365010653</v>
      </c>
      <c r="J46" t="s">
        <v>690</v>
      </c>
      <c r="K46" t="s">
        <v>690</v>
      </c>
    </row>
    <row r="47" spans="1:11" x14ac:dyDescent="0.3">
      <c r="A47" t="s">
        <v>330</v>
      </c>
      <c r="B47" t="str">
        <f>IF(Calculator!$B$1="NL",Data!K47,Data!J47)</f>
        <v>BASILIQUE_21011A12-</v>
      </c>
      <c r="C47">
        <v>989</v>
      </c>
      <c r="D47">
        <v>662</v>
      </c>
      <c r="E47">
        <v>35.121152879999997</v>
      </c>
      <c r="F47">
        <v>0.8380281690140845</v>
      </c>
      <c r="G47">
        <f t="shared" si="0"/>
        <v>0.66936299292214363</v>
      </c>
      <c r="H47">
        <f t="shared" si="1"/>
        <v>0.54090439592799999</v>
      </c>
      <c r="I47">
        <f t="shared" si="2"/>
        <v>0.54462032498256463</v>
      </c>
      <c r="J47" t="s">
        <v>691</v>
      </c>
      <c r="K47" t="s">
        <v>1310</v>
      </c>
    </row>
    <row r="48" spans="1:11" x14ac:dyDescent="0.3">
      <c r="A48" t="s">
        <v>268</v>
      </c>
      <c r="B48" t="str">
        <f>IF(Calculator!$B$1="NL",Data!K48,Data!J48)</f>
        <v>BEAU SEJOUR_21016A232</v>
      </c>
      <c r="C48">
        <v>745</v>
      </c>
      <c r="D48">
        <v>528</v>
      </c>
      <c r="E48">
        <v>39.901332080000003</v>
      </c>
      <c r="F48">
        <v>0.90551181102362199</v>
      </c>
      <c r="G48">
        <f t="shared" si="0"/>
        <v>0.70872483221476512</v>
      </c>
      <c r="H48">
        <f t="shared" si="1"/>
        <v>0.67522743144800024</v>
      </c>
      <c r="I48">
        <f t="shared" si="2"/>
        <v>0.65737732523981351</v>
      </c>
      <c r="J48" t="s">
        <v>692</v>
      </c>
      <c r="K48" t="s">
        <v>1311</v>
      </c>
    </row>
    <row r="49" spans="1:11" x14ac:dyDescent="0.3">
      <c r="A49" t="s">
        <v>96</v>
      </c>
      <c r="B49" t="str">
        <f>IF(Calculator!$B$1="NL",Data!K49,Data!J49)</f>
        <v>BEAULIEU_21002A52-</v>
      </c>
      <c r="C49">
        <v>279</v>
      </c>
      <c r="D49">
        <v>274</v>
      </c>
      <c r="E49">
        <v>34.708794660000002</v>
      </c>
      <c r="F49">
        <v>0.94915254237288138</v>
      </c>
      <c r="G49">
        <f t="shared" si="0"/>
        <v>0.98207885304659504</v>
      </c>
      <c r="H49">
        <f t="shared" si="1"/>
        <v>0.529317129946</v>
      </c>
      <c r="I49">
        <f t="shared" si="2"/>
        <v>0.71791309192148267</v>
      </c>
      <c r="J49" t="s">
        <v>693</v>
      </c>
      <c r="K49" t="s">
        <v>693</v>
      </c>
    </row>
    <row r="50" spans="1:11" x14ac:dyDescent="0.3">
      <c r="A50" t="s">
        <v>222</v>
      </c>
      <c r="B50" t="str">
        <f>IF(Calculator!$B$1="NL",Data!K50,Data!J50)</f>
        <v>BEEKKANT_21012A25-</v>
      </c>
      <c r="C50">
        <v>275</v>
      </c>
      <c r="D50">
        <v>173</v>
      </c>
      <c r="E50">
        <v>27.53200228</v>
      </c>
      <c r="F50">
        <v>0.86187845303867405</v>
      </c>
      <c r="G50">
        <f t="shared" si="0"/>
        <v>0.62909090909090915</v>
      </c>
      <c r="H50">
        <f t="shared" si="1"/>
        <v>0.32764926406800005</v>
      </c>
      <c r="I50">
        <f t="shared" si="2"/>
        <v>0.45445158225048182</v>
      </c>
      <c r="J50" t="s">
        <v>694</v>
      </c>
      <c r="K50" t="s">
        <v>694</v>
      </c>
    </row>
    <row r="51" spans="1:11" x14ac:dyDescent="0.3">
      <c r="A51" t="s">
        <v>567</v>
      </c>
      <c r="B51" t="str">
        <f>IF(Calculator!$B$1="NL",Data!K51,Data!J51)</f>
        <v>BEETEPUT_21018A04-</v>
      </c>
      <c r="C51">
        <v>918</v>
      </c>
      <c r="D51">
        <v>595</v>
      </c>
      <c r="E51">
        <v>33.760893789999997</v>
      </c>
      <c r="F51">
        <v>0.98130841121495327</v>
      </c>
      <c r="G51">
        <f t="shared" si="0"/>
        <v>0.64814814814814814</v>
      </c>
      <c r="H51">
        <f t="shared" si="1"/>
        <v>0.50268111549899985</v>
      </c>
      <c r="I51">
        <f t="shared" si="2"/>
        <v>0.54664390023239529</v>
      </c>
      <c r="J51" t="s">
        <v>695</v>
      </c>
      <c r="K51" t="s">
        <v>695</v>
      </c>
    </row>
    <row r="52" spans="1:11" x14ac:dyDescent="0.3">
      <c r="A52" t="s">
        <v>131</v>
      </c>
      <c r="B52" t="str">
        <f>IF(Calculator!$B$1="NL",Data!K52,Data!J52)</f>
        <v>BEGUINAGE (PLACE DU)_21004A25-</v>
      </c>
      <c r="C52">
        <v>1205</v>
      </c>
      <c r="D52">
        <v>405</v>
      </c>
      <c r="E52">
        <v>28.30116838</v>
      </c>
      <c r="F52">
        <v>0.60505836575875482</v>
      </c>
      <c r="G52">
        <f t="shared" si="0"/>
        <v>0.33609958506224069</v>
      </c>
      <c r="H52">
        <f t="shared" si="1"/>
        <v>0.34926283147800002</v>
      </c>
      <c r="I52">
        <f t="shared" si="2"/>
        <v>0.30841308744310836</v>
      </c>
      <c r="J52" t="s">
        <v>696</v>
      </c>
      <c r="K52" t="s">
        <v>1312</v>
      </c>
    </row>
    <row r="53" spans="1:11" x14ac:dyDescent="0.3">
      <c r="A53" t="s">
        <v>312</v>
      </c>
      <c r="B53" t="str">
        <f>IF(Calculator!$B$1="NL",Data!K53,Data!J53)</f>
        <v>BEGUINETTES_21017A230</v>
      </c>
      <c r="C53">
        <v>594</v>
      </c>
      <c r="D53">
        <v>519</v>
      </c>
      <c r="E53">
        <v>45.974705540000002</v>
      </c>
      <c r="F53">
        <v>0.90909090909090906</v>
      </c>
      <c r="G53">
        <f t="shared" si="0"/>
        <v>0.8737373737373737</v>
      </c>
      <c r="H53">
        <f t="shared" si="1"/>
        <v>0.84588922567400004</v>
      </c>
      <c r="I53">
        <f t="shared" si="2"/>
        <v>0.81682263472040251</v>
      </c>
      <c r="J53" t="s">
        <v>697</v>
      </c>
      <c r="K53" t="s">
        <v>1313</v>
      </c>
    </row>
    <row r="54" spans="1:11" x14ac:dyDescent="0.3">
      <c r="A54" t="s">
        <v>404</v>
      </c>
      <c r="B54" t="str">
        <f>IF(Calculator!$B$1="NL",Data!K54,Data!J54)</f>
        <v>BELVEDERE_21009A602</v>
      </c>
      <c r="C54">
        <v>218</v>
      </c>
      <c r="D54">
        <v>73</v>
      </c>
      <c r="E54">
        <v>32.831010020000001</v>
      </c>
      <c r="F54">
        <v>0.50526315789473686</v>
      </c>
      <c r="G54">
        <f t="shared" si="0"/>
        <v>0.33486238532110091</v>
      </c>
      <c r="H54">
        <f t="shared" si="1"/>
        <v>0.476551381562</v>
      </c>
      <c r="I54">
        <f t="shared" si="2"/>
        <v>0.36513619509739542</v>
      </c>
      <c r="J54" t="s">
        <v>698</v>
      </c>
      <c r="K54" t="s">
        <v>698</v>
      </c>
    </row>
    <row r="55" spans="1:11" x14ac:dyDescent="0.3">
      <c r="A55" t="s">
        <v>620</v>
      </c>
      <c r="B55" t="str">
        <f>IF(Calculator!$B$1="NL",Data!K55,Data!J55)</f>
        <v>BEMEL_21019A31-</v>
      </c>
      <c r="C55">
        <v>579</v>
      </c>
      <c r="D55">
        <v>572</v>
      </c>
      <c r="E55">
        <v>47.326613330000001</v>
      </c>
      <c r="F55">
        <v>0.54733218588640276</v>
      </c>
      <c r="G55">
        <f t="shared" si="0"/>
        <v>0.98791018998272884</v>
      </c>
      <c r="H55">
        <f t="shared" si="1"/>
        <v>0.88387783457300007</v>
      </c>
      <c r="I55">
        <f t="shared" si="2"/>
        <v>0.84230461105007803</v>
      </c>
      <c r="J55" t="s">
        <v>699</v>
      </c>
      <c r="K55" t="s">
        <v>699</v>
      </c>
    </row>
    <row r="56" spans="1:11" x14ac:dyDescent="0.3">
      <c r="A56" t="s">
        <v>226</v>
      </c>
      <c r="B56" t="str">
        <f>IF(Calculator!$B$1="NL",Data!K56,Data!J56)</f>
        <v>BENES_21012A50-</v>
      </c>
      <c r="C56">
        <v>1470</v>
      </c>
      <c r="D56">
        <v>1037</v>
      </c>
      <c r="E56">
        <v>37.814482220000002</v>
      </c>
      <c r="F56">
        <v>0.92469879518072284</v>
      </c>
      <c r="G56">
        <f t="shared" si="0"/>
        <v>0.70544217687074828</v>
      </c>
      <c r="H56">
        <f t="shared" si="1"/>
        <v>0.61658695038200007</v>
      </c>
      <c r="I56">
        <f t="shared" si="2"/>
        <v>0.62796383544505552</v>
      </c>
      <c r="J56" t="s">
        <v>700</v>
      </c>
      <c r="K56" t="s">
        <v>700</v>
      </c>
    </row>
    <row r="57" spans="1:11" x14ac:dyDescent="0.3">
      <c r="A57" t="s">
        <v>438</v>
      </c>
      <c r="B57" t="str">
        <f>IF(Calculator!$B$1="NL",Data!K57,Data!J57)</f>
        <v>BERANGER_21007A50-</v>
      </c>
      <c r="C57">
        <v>1419</v>
      </c>
      <c r="D57">
        <v>705</v>
      </c>
      <c r="E57">
        <v>34.473569730000001</v>
      </c>
      <c r="F57">
        <v>0.97003745318352064</v>
      </c>
      <c r="G57">
        <f t="shared" si="0"/>
        <v>0.49682875264270615</v>
      </c>
      <c r="H57">
        <f t="shared" si="1"/>
        <v>0.52270730941299992</v>
      </c>
      <c r="I57">
        <f t="shared" si="2"/>
        <v>0.48427962947646036</v>
      </c>
      <c r="J57" t="s">
        <v>701</v>
      </c>
      <c r="K57" t="s">
        <v>701</v>
      </c>
    </row>
    <row r="58" spans="1:11" x14ac:dyDescent="0.3">
      <c r="A58" t="s">
        <v>411</v>
      </c>
      <c r="B58" t="str">
        <f>IF(Calculator!$B$1="NL",Data!K58,Data!J58)</f>
        <v>BERCKENDAEL_21009A73-</v>
      </c>
      <c r="C58">
        <v>1396</v>
      </c>
      <c r="D58">
        <v>942</v>
      </c>
      <c r="E58">
        <v>37.64284644</v>
      </c>
      <c r="F58">
        <v>0.92338709677419351</v>
      </c>
      <c r="G58">
        <f t="shared" si="0"/>
        <v>0.67478510028653294</v>
      </c>
      <c r="H58">
        <f t="shared" si="1"/>
        <v>0.61176398496399997</v>
      </c>
      <c r="I58">
        <f t="shared" si="2"/>
        <v>0.61111081549400303</v>
      </c>
      <c r="J58" t="s">
        <v>702</v>
      </c>
      <c r="K58" t="s">
        <v>702</v>
      </c>
    </row>
    <row r="59" spans="1:11" x14ac:dyDescent="0.3">
      <c r="A59" t="s">
        <v>449</v>
      </c>
      <c r="B59" t="str">
        <f>IF(Calculator!$B$1="NL",Data!K59,Data!J59)</f>
        <v>BERCKENDAEL (RUE)_21007A73-</v>
      </c>
      <c r="C59">
        <v>1234</v>
      </c>
      <c r="D59">
        <v>685</v>
      </c>
      <c r="E59">
        <v>32.976436759999999</v>
      </c>
      <c r="F59">
        <v>0.93087557603686633</v>
      </c>
      <c r="G59">
        <f t="shared" si="0"/>
        <v>0.55510534846029169</v>
      </c>
      <c r="H59">
        <f t="shared" si="1"/>
        <v>0.48063787295599997</v>
      </c>
      <c r="I59">
        <f t="shared" si="2"/>
        <v>0.4919780301727385</v>
      </c>
      <c r="J59" t="s">
        <v>703</v>
      </c>
      <c r="K59" t="s">
        <v>1314</v>
      </c>
    </row>
    <row r="60" spans="1:11" x14ac:dyDescent="0.3">
      <c r="A60" t="s">
        <v>364</v>
      </c>
      <c r="B60" t="str">
        <f>IF(Calculator!$B$1="NL",Data!K60,Data!J60)</f>
        <v>BETHLEEM (PLACE DE)_21013A242</v>
      </c>
      <c r="C60">
        <v>831</v>
      </c>
      <c r="D60">
        <v>265</v>
      </c>
      <c r="E60">
        <v>30.906595710000001</v>
      </c>
      <c r="F60">
        <v>0.90338164251207731</v>
      </c>
      <c r="G60">
        <f t="shared" si="0"/>
        <v>0.31889290012033694</v>
      </c>
      <c r="H60">
        <f t="shared" si="1"/>
        <v>0.42247533945100008</v>
      </c>
      <c r="I60">
        <f t="shared" si="2"/>
        <v>0.35214991379638505</v>
      </c>
      <c r="J60" t="s">
        <v>704</v>
      </c>
      <c r="K60" t="s">
        <v>1315</v>
      </c>
    </row>
    <row r="61" spans="1:11" x14ac:dyDescent="0.3">
      <c r="A61" t="s">
        <v>534</v>
      </c>
      <c r="B61" t="str">
        <f>IF(Calculator!$B$1="NL",Data!K61,Data!J61)</f>
        <v>BIENFAITEURS (PLACE DE)_21015A33-</v>
      </c>
      <c r="C61">
        <v>1053</v>
      </c>
      <c r="D61">
        <v>521</v>
      </c>
      <c r="E61">
        <v>32.414821580000002</v>
      </c>
      <c r="F61">
        <v>0.88409090909090904</v>
      </c>
      <c r="G61">
        <f t="shared" si="0"/>
        <v>0.49477682811016144</v>
      </c>
      <c r="H61">
        <f t="shared" si="1"/>
        <v>0.46485648639800009</v>
      </c>
      <c r="I61">
        <f t="shared" si="2"/>
        <v>0.4558258243913767</v>
      </c>
      <c r="J61" t="s">
        <v>705</v>
      </c>
      <c r="K61" t="s">
        <v>1316</v>
      </c>
    </row>
    <row r="62" spans="1:11" x14ac:dyDescent="0.3">
      <c r="A62" t="s">
        <v>11</v>
      </c>
      <c r="B62" t="str">
        <f>IF(Calculator!$B$1="NL",Data!K62,Data!J62)</f>
        <v>BIESTEBROEK_21001A112</v>
      </c>
      <c r="C62">
        <v>1125</v>
      </c>
      <c r="D62">
        <v>506</v>
      </c>
      <c r="E62">
        <v>33.807920920000001</v>
      </c>
      <c r="F62">
        <v>0.88387096774193552</v>
      </c>
      <c r="G62">
        <f t="shared" si="0"/>
        <v>0.44977777777777778</v>
      </c>
      <c r="H62">
        <f t="shared" si="1"/>
        <v>0.50400257785200009</v>
      </c>
      <c r="I62">
        <f t="shared" si="2"/>
        <v>0.4530456689241445</v>
      </c>
      <c r="J62" t="s">
        <v>706</v>
      </c>
      <c r="K62" t="s">
        <v>706</v>
      </c>
    </row>
    <row r="63" spans="1:11" x14ac:dyDescent="0.3">
      <c r="A63" t="s">
        <v>9</v>
      </c>
      <c r="B63" t="str">
        <f>IF(Calculator!$B$1="NL",Data!K63,Data!J63)</f>
        <v>BIRMINGHAM_21001A07-</v>
      </c>
      <c r="C63">
        <v>135</v>
      </c>
      <c r="D63">
        <v>50</v>
      </c>
      <c r="E63">
        <v>24.179621130000001</v>
      </c>
      <c r="F63">
        <v>0.25270758122743681</v>
      </c>
      <c r="G63">
        <f t="shared" si="0"/>
        <v>0.37037037037037035</v>
      </c>
      <c r="H63">
        <f t="shared" si="1"/>
        <v>0.23344735375300002</v>
      </c>
      <c r="I63">
        <f t="shared" si="2"/>
        <v>0.27171797585551671</v>
      </c>
      <c r="J63" t="s">
        <v>707</v>
      </c>
      <c r="K63" t="s">
        <v>707</v>
      </c>
    </row>
    <row r="64" spans="1:11" x14ac:dyDescent="0.3">
      <c r="A64" t="s">
        <v>213</v>
      </c>
      <c r="B64" t="str">
        <f>IF(Calculator!$B$1="NL",Data!K64,Data!J64)</f>
        <v>BIRMINGHAM-NORD_21012A13-</v>
      </c>
      <c r="C64">
        <v>632</v>
      </c>
      <c r="D64">
        <v>251</v>
      </c>
      <c r="E64">
        <v>27.680701790000001</v>
      </c>
      <c r="F64">
        <v>0.98974358974358978</v>
      </c>
      <c r="G64">
        <f t="shared" si="0"/>
        <v>0.39715189873417722</v>
      </c>
      <c r="H64">
        <f t="shared" si="1"/>
        <v>0.33182772029900004</v>
      </c>
      <c r="I64">
        <f t="shared" si="2"/>
        <v>0.34626531904075913</v>
      </c>
      <c r="J64" t="s">
        <v>708</v>
      </c>
      <c r="K64" t="s">
        <v>1317</v>
      </c>
    </row>
    <row r="65" spans="1:11" x14ac:dyDescent="0.3">
      <c r="A65" t="s">
        <v>212</v>
      </c>
      <c r="B65" t="str">
        <f>IF(Calculator!$B$1="NL",Data!K65,Data!J65)</f>
        <v>BIRMINGHAM-SUD_21012A12-</v>
      </c>
      <c r="C65">
        <v>503</v>
      </c>
      <c r="D65">
        <v>284</v>
      </c>
      <c r="E65">
        <v>31.685643070000001</v>
      </c>
      <c r="F65">
        <v>1.0344827586206899</v>
      </c>
      <c r="G65">
        <f t="shared" si="0"/>
        <v>0.56461232604373757</v>
      </c>
      <c r="H65">
        <f t="shared" si="1"/>
        <v>0.44436657026700005</v>
      </c>
      <c r="I65">
        <f t="shared" si="2"/>
        <v>0.50448944815536878</v>
      </c>
      <c r="J65" t="s">
        <v>709</v>
      </c>
      <c r="K65" t="s">
        <v>1318</v>
      </c>
    </row>
    <row r="66" spans="1:11" x14ac:dyDescent="0.3">
      <c r="A66" t="s">
        <v>16</v>
      </c>
      <c r="B66" t="str">
        <f>IF(Calculator!$B$1="NL",Data!K66,Data!J66)</f>
        <v>BIZET_21001A30-</v>
      </c>
      <c r="C66">
        <v>1214</v>
      </c>
      <c r="D66">
        <v>619</v>
      </c>
      <c r="E66">
        <v>30.308799759999999</v>
      </c>
      <c r="F66">
        <v>0.75846153846153841</v>
      </c>
      <c r="G66">
        <f t="shared" ref="G66:G129" si="3">D66/C66</f>
        <v>0.50988467874794074</v>
      </c>
      <c r="H66">
        <f t="shared" si="1"/>
        <v>0.40567727325599995</v>
      </c>
      <c r="I66">
        <f t="shared" si="2"/>
        <v>0.4120028784017733</v>
      </c>
      <c r="J66" t="s">
        <v>710</v>
      </c>
      <c r="K66" t="s">
        <v>710</v>
      </c>
    </row>
    <row r="67" spans="1:11" x14ac:dyDescent="0.3">
      <c r="A67" t="s">
        <v>138</v>
      </c>
      <c r="B67" t="str">
        <f>IF(Calculator!$B$1="NL",Data!K67,Data!J67)</f>
        <v>BLAES (RUE)-CENTRE_21004A71-</v>
      </c>
      <c r="C67">
        <v>805</v>
      </c>
      <c r="D67">
        <v>208</v>
      </c>
      <c r="E67">
        <v>34.094636829999999</v>
      </c>
      <c r="F67">
        <v>0.76777251184834128</v>
      </c>
      <c r="G67">
        <f t="shared" si="3"/>
        <v>0.25838509316770186</v>
      </c>
      <c r="H67">
        <f t="shared" ref="H67:H130" si="4">0.0281*E67-0.446</f>
        <v>0.51205929492300006</v>
      </c>
      <c r="I67">
        <f t="shared" ref="I67:I130" si="5">(G67+H67)/2*IF(F67&lt;85%,0.9,IF(F67&gt;100%,1,0.95))</f>
        <v>0.34669997464081587</v>
      </c>
      <c r="J67" t="s">
        <v>711</v>
      </c>
      <c r="K67" t="s">
        <v>1319</v>
      </c>
    </row>
    <row r="68" spans="1:11" x14ac:dyDescent="0.3">
      <c r="A68" t="s">
        <v>137</v>
      </c>
      <c r="B68" t="str">
        <f>IF(Calculator!$B$1="NL",Data!K68,Data!J68)</f>
        <v>BLAES (RUE)-SUD_21004A70-</v>
      </c>
      <c r="C68">
        <v>2030</v>
      </c>
      <c r="D68">
        <v>544</v>
      </c>
      <c r="E68">
        <v>30.007783450000002</v>
      </c>
      <c r="F68">
        <v>0.85448916408668729</v>
      </c>
      <c r="G68">
        <f t="shared" si="3"/>
        <v>0.26798029556650244</v>
      </c>
      <c r="H68">
        <f t="shared" si="4"/>
        <v>0.397218714945</v>
      </c>
      <c r="I68">
        <f t="shared" si="5"/>
        <v>0.31596952999296363</v>
      </c>
      <c r="J68" t="s">
        <v>712</v>
      </c>
      <c r="K68" t="s">
        <v>1320</v>
      </c>
    </row>
    <row r="69" spans="1:11" x14ac:dyDescent="0.3">
      <c r="A69" t="s">
        <v>456</v>
      </c>
      <c r="B69" t="str">
        <f>IF(Calculator!$B$1="NL",Data!K69,Data!J69)</f>
        <v>BLOCS SAINT-VINCENT_21006A03-</v>
      </c>
      <c r="C69">
        <v>378</v>
      </c>
      <c r="D69">
        <v>216</v>
      </c>
      <c r="E69">
        <v>37.503589550000001</v>
      </c>
      <c r="F69">
        <v>0.93650793650793651</v>
      </c>
      <c r="G69">
        <f t="shared" si="3"/>
        <v>0.5714285714285714</v>
      </c>
      <c r="H69">
        <f t="shared" si="4"/>
        <v>0.60785086635499996</v>
      </c>
      <c r="I69">
        <f t="shared" si="5"/>
        <v>0.5601577329471964</v>
      </c>
      <c r="J69" t="s">
        <v>713</v>
      </c>
      <c r="K69" t="s">
        <v>1321</v>
      </c>
    </row>
    <row r="70" spans="1:11" x14ac:dyDescent="0.3">
      <c r="A70" t="s">
        <v>373</v>
      </c>
      <c r="B70" t="str">
        <f>IF(Calculator!$B$1="NL",Data!K70,Data!J70)</f>
        <v>BLYCKAERTS_21009A01-</v>
      </c>
      <c r="C70">
        <v>1276</v>
      </c>
      <c r="D70">
        <v>345</v>
      </c>
      <c r="E70">
        <v>33.297077639999998</v>
      </c>
      <c r="F70">
        <v>0.85915492957746475</v>
      </c>
      <c r="G70">
        <f t="shared" si="3"/>
        <v>0.27037617554858934</v>
      </c>
      <c r="H70">
        <f t="shared" si="4"/>
        <v>0.48964788168399992</v>
      </c>
      <c r="I70">
        <f t="shared" si="5"/>
        <v>0.36101142718547991</v>
      </c>
      <c r="J70" t="s">
        <v>714</v>
      </c>
      <c r="K70" t="s">
        <v>714</v>
      </c>
    </row>
    <row r="71" spans="1:11" x14ac:dyDescent="0.3">
      <c r="A71" t="s">
        <v>161</v>
      </c>
      <c r="B71" t="str">
        <f>IF(Calculator!$B$1="NL",Data!K71,Data!J71)</f>
        <v>BOENDAAL-OUEST_21004C62-</v>
      </c>
      <c r="C71">
        <v>368</v>
      </c>
      <c r="D71">
        <v>307</v>
      </c>
      <c r="E71">
        <v>38.970678020000001</v>
      </c>
      <c r="F71">
        <v>0.64739884393063585</v>
      </c>
      <c r="G71">
        <f t="shared" si="3"/>
        <v>0.83423913043478259</v>
      </c>
      <c r="H71">
        <f t="shared" si="4"/>
        <v>0.64907605236200006</v>
      </c>
      <c r="I71">
        <f t="shared" si="5"/>
        <v>0.66749183225855224</v>
      </c>
      <c r="J71" t="s">
        <v>715</v>
      </c>
      <c r="K71" t="s">
        <v>1322</v>
      </c>
    </row>
    <row r="72" spans="1:11" x14ac:dyDescent="0.3">
      <c r="A72" t="s">
        <v>426</v>
      </c>
      <c r="B72" t="str">
        <f>IF(Calculator!$B$1="NL",Data!K72,Data!J72)</f>
        <v>BOLLINCKX_21007A071</v>
      </c>
      <c r="C72">
        <v>664</v>
      </c>
      <c r="D72">
        <v>426</v>
      </c>
      <c r="E72">
        <v>35.923314859999998</v>
      </c>
      <c r="F72">
        <v>0.45187165775401072</v>
      </c>
      <c r="G72">
        <f t="shared" si="3"/>
        <v>0.64156626506024095</v>
      </c>
      <c r="H72">
        <f t="shared" si="4"/>
        <v>0.56344514756600006</v>
      </c>
      <c r="I72">
        <f t="shared" si="5"/>
        <v>0.5422551356818085</v>
      </c>
      <c r="J72" t="s">
        <v>716</v>
      </c>
      <c r="K72" t="s">
        <v>716</v>
      </c>
    </row>
    <row r="73" spans="1:11" x14ac:dyDescent="0.3">
      <c r="A73" t="s">
        <v>69</v>
      </c>
      <c r="B73" t="str">
        <f>IF(Calculator!$B$1="NL",Data!K73,Data!J73)</f>
        <v>BON AIR - CENTRE_21001C70-</v>
      </c>
      <c r="C73">
        <v>168</v>
      </c>
      <c r="D73">
        <v>124</v>
      </c>
      <c r="E73">
        <v>39.199786090000003</v>
      </c>
      <c r="F73">
        <v>0.83720930232558144</v>
      </c>
      <c r="G73">
        <f t="shared" si="3"/>
        <v>0.73809523809523814</v>
      </c>
      <c r="H73">
        <f t="shared" si="4"/>
        <v>0.65551398912900005</v>
      </c>
      <c r="I73">
        <f t="shared" si="5"/>
        <v>0.62712415225090723</v>
      </c>
      <c r="J73" t="s">
        <v>717</v>
      </c>
      <c r="K73" t="s">
        <v>1323</v>
      </c>
    </row>
    <row r="74" spans="1:11" x14ac:dyDescent="0.3">
      <c r="A74" t="s">
        <v>70</v>
      </c>
      <c r="B74" t="str">
        <f>IF(Calculator!$B$1="NL",Data!K74,Data!J74)</f>
        <v>BON AIR - CITE JARDIN_21001C71-</v>
      </c>
      <c r="C74">
        <v>571</v>
      </c>
      <c r="D74">
        <v>402</v>
      </c>
      <c r="E74">
        <v>43.215522239999999</v>
      </c>
      <c r="F74">
        <v>0.52403846153846156</v>
      </c>
      <c r="G74">
        <f t="shared" si="3"/>
        <v>0.70402802101576178</v>
      </c>
      <c r="H74">
        <f t="shared" si="4"/>
        <v>0.76835617494399999</v>
      </c>
      <c r="I74">
        <f t="shared" si="5"/>
        <v>0.66257288818189275</v>
      </c>
      <c r="J74" t="s">
        <v>718</v>
      </c>
      <c r="K74" t="s">
        <v>1324</v>
      </c>
    </row>
    <row r="75" spans="1:11" x14ac:dyDescent="0.3">
      <c r="A75" t="s">
        <v>459</v>
      </c>
      <c r="B75" t="str">
        <f>IF(Calculator!$B$1="NL",Data!K75,Data!J75)</f>
        <v>BON PASTEUR_21006A094</v>
      </c>
      <c r="C75">
        <v>177</v>
      </c>
      <c r="D75">
        <v>92</v>
      </c>
      <c r="E75">
        <v>40.794385159999997</v>
      </c>
      <c r="F75">
        <v>0.51418439716312059</v>
      </c>
      <c r="G75">
        <f t="shared" si="3"/>
        <v>0.51977401129943501</v>
      </c>
      <c r="H75">
        <f t="shared" si="4"/>
        <v>0.700322222996</v>
      </c>
      <c r="I75">
        <f t="shared" si="5"/>
        <v>0.54904330543294577</v>
      </c>
      <c r="J75" t="s">
        <v>719</v>
      </c>
      <c r="K75" t="s">
        <v>1325</v>
      </c>
    </row>
    <row r="76" spans="1:11" x14ac:dyDescent="0.3">
      <c r="A76" t="s">
        <v>119</v>
      </c>
      <c r="B76" t="str">
        <f>IF(Calculator!$B$1="NL",Data!K76,Data!J76)</f>
        <v>BON SECOURS - PALAIS DU MIDI_21004A03-</v>
      </c>
      <c r="C76">
        <v>1339</v>
      </c>
      <c r="D76">
        <v>255</v>
      </c>
      <c r="E76">
        <v>27.05140492</v>
      </c>
      <c r="F76">
        <v>0.54</v>
      </c>
      <c r="G76">
        <f t="shared" si="3"/>
        <v>0.19044062733383121</v>
      </c>
      <c r="H76">
        <f t="shared" si="4"/>
        <v>0.31414447825199993</v>
      </c>
      <c r="I76">
        <f t="shared" si="5"/>
        <v>0.22706329751362403</v>
      </c>
      <c r="J76" t="s">
        <v>720</v>
      </c>
      <c r="K76" t="s">
        <v>1326</v>
      </c>
    </row>
    <row r="77" spans="1:11" x14ac:dyDescent="0.3">
      <c r="A77" t="s">
        <v>388</v>
      </c>
      <c r="B77" t="str">
        <f>IF(Calculator!$B$1="NL",Data!K77,Data!J77)</f>
        <v>BOONDAEL-NORD_21009A301</v>
      </c>
      <c r="C77">
        <v>586</v>
      </c>
      <c r="D77">
        <v>363</v>
      </c>
      <c r="E77">
        <v>40.34340529</v>
      </c>
      <c r="F77">
        <v>0.98136645962732916</v>
      </c>
      <c r="G77">
        <f t="shared" si="3"/>
        <v>0.61945392491467577</v>
      </c>
      <c r="H77">
        <f t="shared" si="4"/>
        <v>0.687649688649</v>
      </c>
      <c r="I77">
        <f t="shared" si="5"/>
        <v>0.62087421644274599</v>
      </c>
      <c r="J77" t="s">
        <v>721</v>
      </c>
      <c r="K77" t="s">
        <v>1327</v>
      </c>
    </row>
    <row r="78" spans="1:11" x14ac:dyDescent="0.3">
      <c r="A78" t="s">
        <v>412</v>
      </c>
      <c r="B78" t="str">
        <f>IF(Calculator!$B$1="NL",Data!K78,Data!J78)</f>
        <v>BOONDAEL-SUD_21009A802</v>
      </c>
      <c r="C78">
        <v>152</v>
      </c>
      <c r="D78">
        <v>111</v>
      </c>
      <c r="E78">
        <v>38.275387240000001</v>
      </c>
      <c r="F78">
        <v>0.71666666666666667</v>
      </c>
      <c r="G78">
        <f t="shared" si="3"/>
        <v>0.73026315789473684</v>
      </c>
      <c r="H78">
        <f t="shared" si="4"/>
        <v>0.62953838144400009</v>
      </c>
      <c r="I78">
        <f t="shared" si="5"/>
        <v>0.61191069270243159</v>
      </c>
      <c r="J78" t="s">
        <v>722</v>
      </c>
      <c r="K78" t="s">
        <v>1328</v>
      </c>
    </row>
    <row r="79" spans="1:11" x14ac:dyDescent="0.3">
      <c r="A79" t="s">
        <v>256</v>
      </c>
      <c r="B79" t="str">
        <f>IF(Calculator!$B$1="NL",Data!K79,Data!J79)</f>
        <v>BOSSUET_21014A41-</v>
      </c>
      <c r="C79">
        <v>1613</v>
      </c>
      <c r="D79">
        <v>635</v>
      </c>
      <c r="E79">
        <v>33.364730029999997</v>
      </c>
      <c r="F79">
        <v>0.92393736017897088</v>
      </c>
      <c r="G79">
        <f t="shared" si="3"/>
        <v>0.39367637941723499</v>
      </c>
      <c r="H79">
        <f t="shared" si="4"/>
        <v>0.49154891384299987</v>
      </c>
      <c r="I79">
        <f t="shared" si="5"/>
        <v>0.42048201429861154</v>
      </c>
      <c r="J79" t="s">
        <v>723</v>
      </c>
      <c r="K79" t="s">
        <v>723</v>
      </c>
    </row>
    <row r="80" spans="1:11" x14ac:dyDescent="0.3">
      <c r="A80" t="s">
        <v>309</v>
      </c>
      <c r="B80" t="str">
        <f>IF(Calculator!$B$1="NL",Data!K80,Data!J80)</f>
        <v>BOULEAUX_21017A13-</v>
      </c>
      <c r="C80">
        <v>496</v>
      </c>
      <c r="D80">
        <v>496</v>
      </c>
      <c r="E80">
        <v>42.372475770000001</v>
      </c>
      <c r="F80">
        <v>0.73111111111111116</v>
      </c>
      <c r="G80">
        <f t="shared" si="3"/>
        <v>1</v>
      </c>
      <c r="H80">
        <f t="shared" si="4"/>
        <v>0.74466656913700002</v>
      </c>
      <c r="I80">
        <f t="shared" si="5"/>
        <v>0.78509995611165007</v>
      </c>
      <c r="J80" t="s">
        <v>724</v>
      </c>
      <c r="K80" t="s">
        <v>1329</v>
      </c>
    </row>
    <row r="81" spans="1:11" x14ac:dyDescent="0.3">
      <c r="A81" t="s">
        <v>602</v>
      </c>
      <c r="B81" t="str">
        <f>IF(Calculator!$B$1="NL",Data!K81,Data!J81)</f>
        <v>BOULEVARD DE LA WOLUWE_21019A01-</v>
      </c>
      <c r="C81">
        <v>332</v>
      </c>
      <c r="D81">
        <v>233</v>
      </c>
      <c r="E81">
        <v>40.813642700000003</v>
      </c>
      <c r="F81">
        <v>0.68055555555555558</v>
      </c>
      <c r="G81">
        <f t="shared" si="3"/>
        <v>0.70180722891566261</v>
      </c>
      <c r="H81">
        <f t="shared" si="4"/>
        <v>0.70086335987000004</v>
      </c>
      <c r="I81">
        <f t="shared" si="5"/>
        <v>0.63120176495354818</v>
      </c>
      <c r="J81" t="s">
        <v>725</v>
      </c>
      <c r="K81" t="s">
        <v>1330</v>
      </c>
    </row>
    <row r="82" spans="1:11" x14ac:dyDescent="0.3">
      <c r="A82" t="s">
        <v>280</v>
      </c>
      <c r="B82" t="str">
        <f>IF(Calculator!$B$1="NL",Data!K82,Data!J82)</f>
        <v>BOURDON_21016A601</v>
      </c>
      <c r="C82">
        <v>424</v>
      </c>
      <c r="D82">
        <v>349</v>
      </c>
      <c r="E82">
        <v>45.923006960000002</v>
      </c>
      <c r="F82">
        <v>0.79039301310043664</v>
      </c>
      <c r="G82">
        <f t="shared" si="3"/>
        <v>0.82311320754716977</v>
      </c>
      <c r="H82">
        <f t="shared" si="4"/>
        <v>0.8444364955760002</v>
      </c>
      <c r="I82">
        <f t="shared" si="5"/>
        <v>0.75039736640542654</v>
      </c>
      <c r="J82" t="s">
        <v>726</v>
      </c>
      <c r="K82" t="s">
        <v>1331</v>
      </c>
    </row>
    <row r="83" spans="1:11" x14ac:dyDescent="0.3">
      <c r="A83" t="s">
        <v>427</v>
      </c>
      <c r="B83" t="str">
        <f>IF(Calculator!$B$1="NL",Data!K83,Data!J83)</f>
        <v>BOURGOGNE_21007A101</v>
      </c>
      <c r="C83">
        <v>1265</v>
      </c>
      <c r="D83">
        <v>684</v>
      </c>
      <c r="E83">
        <v>36.989318429999997</v>
      </c>
      <c r="F83">
        <v>0.88440366972477069</v>
      </c>
      <c r="G83">
        <f t="shared" si="3"/>
        <v>0.54071146245059287</v>
      </c>
      <c r="H83">
        <f t="shared" si="4"/>
        <v>0.59339984788300004</v>
      </c>
      <c r="I83">
        <f t="shared" si="5"/>
        <v>0.5387028724084566</v>
      </c>
      <c r="J83" t="s">
        <v>727</v>
      </c>
      <c r="K83" t="s">
        <v>1332</v>
      </c>
    </row>
    <row r="84" spans="1:11" x14ac:dyDescent="0.3">
      <c r="A84" t="s">
        <v>116</v>
      </c>
      <c r="B84" t="str">
        <f>IF(Calculator!$B$1="NL",Data!K84,Data!J84)</f>
        <v>BOURSE_21004A002</v>
      </c>
      <c r="C84">
        <v>446</v>
      </c>
      <c r="D84">
        <v>68</v>
      </c>
      <c r="E84">
        <v>26.591029349999999</v>
      </c>
      <c r="F84">
        <v>0</v>
      </c>
      <c r="G84">
        <f t="shared" si="3"/>
        <v>0.15246636771300448</v>
      </c>
      <c r="H84">
        <f t="shared" si="4"/>
        <v>0.30120792473499997</v>
      </c>
      <c r="I84">
        <f t="shared" si="5"/>
        <v>0.20415343160160201</v>
      </c>
      <c r="J84" t="s">
        <v>728</v>
      </c>
      <c r="K84" t="s">
        <v>1333</v>
      </c>
    </row>
    <row r="85" spans="1:11" x14ac:dyDescent="0.3">
      <c r="A85" t="s">
        <v>126</v>
      </c>
      <c r="B85" t="str">
        <f>IF(Calculator!$B$1="NL",Data!K85,Data!J85)</f>
        <v>BOURSE-NORD-OUEST_21004A20-</v>
      </c>
      <c r="C85">
        <v>1455</v>
      </c>
      <c r="D85">
        <v>322</v>
      </c>
      <c r="E85">
        <v>26.720402849999999</v>
      </c>
      <c r="F85">
        <v>0.27272727272727271</v>
      </c>
      <c r="G85">
        <f t="shared" si="3"/>
        <v>0.22130584192439862</v>
      </c>
      <c r="H85">
        <f t="shared" si="4"/>
        <v>0.30484332008499998</v>
      </c>
      <c r="I85">
        <f t="shared" si="5"/>
        <v>0.23676712290422935</v>
      </c>
      <c r="J85" t="s">
        <v>729</v>
      </c>
      <c r="K85" t="s">
        <v>1334</v>
      </c>
    </row>
    <row r="86" spans="1:11" x14ac:dyDescent="0.3">
      <c r="A86" t="s">
        <v>538</v>
      </c>
      <c r="B86" t="str">
        <f>IF(Calculator!$B$1="NL",Data!K86,Data!J86)</f>
        <v>BRABANT (RUE DE)_21015A40-</v>
      </c>
      <c r="C86">
        <v>1519</v>
      </c>
      <c r="D86">
        <v>492</v>
      </c>
      <c r="E86">
        <v>31.551211760000001</v>
      </c>
      <c r="F86">
        <v>0.61989100817438691</v>
      </c>
      <c r="G86">
        <f t="shared" si="3"/>
        <v>0.32389730085582619</v>
      </c>
      <c r="H86">
        <f t="shared" si="4"/>
        <v>0.440589050456</v>
      </c>
      <c r="I86">
        <f t="shared" si="5"/>
        <v>0.34401885809032179</v>
      </c>
      <c r="J86" t="s">
        <v>730</v>
      </c>
      <c r="K86" t="s">
        <v>1335</v>
      </c>
    </row>
    <row r="87" spans="1:11" x14ac:dyDescent="0.3">
      <c r="A87" t="s">
        <v>219</v>
      </c>
      <c r="B87" t="str">
        <f>IF(Calculator!$B$1="NL",Data!K87,Data!J87)</f>
        <v>BRASILIA_21012A22-</v>
      </c>
      <c r="C87">
        <v>122</v>
      </c>
      <c r="D87">
        <v>54</v>
      </c>
      <c r="E87">
        <v>30.496677330000001</v>
      </c>
      <c r="F87">
        <v>0.92500000000000004</v>
      </c>
      <c r="G87">
        <f t="shared" si="3"/>
        <v>0.44262295081967212</v>
      </c>
      <c r="H87">
        <f t="shared" si="4"/>
        <v>0.41095663297300006</v>
      </c>
      <c r="I87">
        <f t="shared" si="5"/>
        <v>0.40545030230151929</v>
      </c>
      <c r="J87" t="s">
        <v>731</v>
      </c>
      <c r="K87" t="s">
        <v>731</v>
      </c>
    </row>
    <row r="88" spans="1:11" x14ac:dyDescent="0.3">
      <c r="A88" t="s">
        <v>549</v>
      </c>
      <c r="B88" t="str">
        <f>IF(Calculator!$B$1="NL",Data!K88,Data!J88)</f>
        <v>BRICHAUT (RUE DE)_21015A612</v>
      </c>
      <c r="C88">
        <v>1566</v>
      </c>
      <c r="D88">
        <v>742</v>
      </c>
      <c r="E88">
        <v>33.164508499999997</v>
      </c>
      <c r="F88">
        <v>0.90375203915171287</v>
      </c>
      <c r="G88">
        <f t="shared" si="3"/>
        <v>0.47381864623243936</v>
      </c>
      <c r="H88">
        <f t="shared" si="4"/>
        <v>0.48592268884999995</v>
      </c>
      <c r="I88">
        <f t="shared" si="5"/>
        <v>0.45587713416415865</v>
      </c>
      <c r="J88" t="s">
        <v>732</v>
      </c>
      <c r="K88" t="s">
        <v>1336</v>
      </c>
    </row>
    <row r="89" spans="1:11" x14ac:dyDescent="0.3">
      <c r="A89" t="s">
        <v>39</v>
      </c>
      <c r="B89" t="str">
        <f>IF(Calculator!$B$1="NL",Data!K89,Data!J89)</f>
        <v>BROECK_21001A81-</v>
      </c>
      <c r="C89">
        <v>937</v>
      </c>
      <c r="D89">
        <v>657</v>
      </c>
      <c r="E89">
        <v>38.481432099999999</v>
      </c>
      <c r="F89">
        <v>0.85350318471337583</v>
      </c>
      <c r="G89">
        <f t="shared" si="3"/>
        <v>0.70117395944503735</v>
      </c>
      <c r="H89">
        <f t="shared" si="4"/>
        <v>0.63532824200999993</v>
      </c>
      <c r="I89">
        <f t="shared" si="5"/>
        <v>0.63483854569114273</v>
      </c>
      <c r="J89" t="s">
        <v>733</v>
      </c>
      <c r="K89" t="s">
        <v>1337</v>
      </c>
    </row>
    <row r="90" spans="1:11" x14ac:dyDescent="0.3">
      <c r="A90" t="s">
        <v>54</v>
      </c>
      <c r="B90" t="str">
        <f>IF(Calculator!$B$1="NL",Data!K90,Data!J90)</f>
        <v>BROGNIEZ-NORD_21001B21-</v>
      </c>
      <c r="C90">
        <v>1589</v>
      </c>
      <c r="D90">
        <v>537</v>
      </c>
      <c r="E90">
        <v>31.92601647</v>
      </c>
      <c r="F90">
        <v>0.80375426621160406</v>
      </c>
      <c r="G90">
        <f t="shared" si="3"/>
        <v>0.33794839521711767</v>
      </c>
      <c r="H90">
        <f t="shared" si="4"/>
        <v>0.45112106280699998</v>
      </c>
      <c r="I90">
        <f t="shared" si="5"/>
        <v>0.35508125611085295</v>
      </c>
      <c r="J90" t="s">
        <v>734</v>
      </c>
      <c r="K90" t="s">
        <v>1338</v>
      </c>
    </row>
    <row r="91" spans="1:11" x14ac:dyDescent="0.3">
      <c r="A91" t="s">
        <v>55</v>
      </c>
      <c r="B91" t="str">
        <f>IF(Calculator!$B$1="NL",Data!K91,Data!J91)</f>
        <v>BROGNIEZ-SUD_21001B22-</v>
      </c>
      <c r="C91">
        <v>657</v>
      </c>
      <c r="D91">
        <v>168</v>
      </c>
      <c r="E91">
        <v>29.462490899999999</v>
      </c>
      <c r="F91">
        <v>0.84322033898305082</v>
      </c>
      <c r="G91">
        <f t="shared" si="3"/>
        <v>0.25570776255707761</v>
      </c>
      <c r="H91">
        <f t="shared" si="4"/>
        <v>0.38189599428999993</v>
      </c>
      <c r="I91">
        <f t="shared" si="5"/>
        <v>0.28692169058118494</v>
      </c>
      <c r="J91" t="s">
        <v>735</v>
      </c>
      <c r="K91" t="s">
        <v>1339</v>
      </c>
    </row>
    <row r="92" spans="1:11" x14ac:dyDescent="0.3">
      <c r="A92" t="s">
        <v>509</v>
      </c>
      <c r="B92" t="str">
        <f>IF(Calculator!$B$1="NL",Data!K92,Data!J92)</f>
        <v>BRUGMANN_21010A141</v>
      </c>
      <c r="C92">
        <v>1821</v>
      </c>
      <c r="D92">
        <v>1120</v>
      </c>
      <c r="E92">
        <v>36.272723290000002</v>
      </c>
      <c r="F92">
        <v>0.85815602836879434</v>
      </c>
      <c r="G92">
        <f t="shared" si="3"/>
        <v>0.61504667764964305</v>
      </c>
      <c r="H92">
        <f t="shared" si="4"/>
        <v>0.57326352444900008</v>
      </c>
      <c r="I92">
        <f t="shared" si="5"/>
        <v>0.56444734599685542</v>
      </c>
      <c r="J92" t="s">
        <v>736</v>
      </c>
      <c r="K92" t="s">
        <v>736</v>
      </c>
    </row>
    <row r="93" spans="1:11" x14ac:dyDescent="0.3">
      <c r="A93" t="s">
        <v>296</v>
      </c>
      <c r="B93" t="str">
        <f>IF(Calculator!$B$1="NL",Data!K93,Data!J93)</f>
        <v>BRUGMANN_21016A85-</v>
      </c>
      <c r="C93">
        <v>1216</v>
      </c>
      <c r="D93">
        <v>870</v>
      </c>
      <c r="E93">
        <v>38.93047842</v>
      </c>
      <c r="F93">
        <v>0.47435897435897428</v>
      </c>
      <c r="G93">
        <f t="shared" si="3"/>
        <v>0.71546052631578949</v>
      </c>
      <c r="H93">
        <f t="shared" si="4"/>
        <v>0.64794644360200015</v>
      </c>
      <c r="I93">
        <f t="shared" si="5"/>
        <v>0.61353313646300534</v>
      </c>
      <c r="J93" t="s">
        <v>737</v>
      </c>
      <c r="K93" t="s">
        <v>737</v>
      </c>
    </row>
    <row r="94" spans="1:11" x14ac:dyDescent="0.3">
      <c r="A94" t="s">
        <v>206</v>
      </c>
      <c r="B94" t="str">
        <f>IF(Calculator!$B$1="NL",Data!K94,Data!J94)</f>
        <v>BRUNFAUT (QUARTIER)_21012A02-</v>
      </c>
      <c r="C94">
        <v>313</v>
      </c>
      <c r="D94">
        <v>99</v>
      </c>
      <c r="E94">
        <v>31.4833389</v>
      </c>
      <c r="F94">
        <v>0.85245901639344257</v>
      </c>
      <c r="G94">
        <f t="shared" si="3"/>
        <v>0.31629392971246006</v>
      </c>
      <c r="H94">
        <f t="shared" si="4"/>
        <v>0.43868182308999998</v>
      </c>
      <c r="I94">
        <f t="shared" si="5"/>
        <v>0.35861348258116854</v>
      </c>
      <c r="J94" t="s">
        <v>738</v>
      </c>
      <c r="K94" t="s">
        <v>1340</v>
      </c>
    </row>
    <row r="95" spans="1:11" x14ac:dyDescent="0.3">
      <c r="A95" t="s">
        <v>550</v>
      </c>
      <c r="B95" t="str">
        <f>IF(Calculator!$B$1="NL",Data!K95,Data!J95)</f>
        <v>BRUSILIA_21015A622</v>
      </c>
      <c r="C95">
        <v>447</v>
      </c>
      <c r="D95">
        <v>276</v>
      </c>
      <c r="E95">
        <v>34.72327524</v>
      </c>
      <c r="F95">
        <v>0.79921259842519687</v>
      </c>
      <c r="G95">
        <f t="shared" si="3"/>
        <v>0.6174496644295302</v>
      </c>
      <c r="H95">
        <f t="shared" si="4"/>
        <v>0.52972403424399994</v>
      </c>
      <c r="I95">
        <f t="shared" si="5"/>
        <v>0.51622816440308861</v>
      </c>
      <c r="J95" t="s">
        <v>739</v>
      </c>
      <c r="K95" t="s">
        <v>739</v>
      </c>
    </row>
    <row r="96" spans="1:11" x14ac:dyDescent="0.3">
      <c r="A96" t="s">
        <v>49</v>
      </c>
      <c r="B96" t="str">
        <f>IF(Calculator!$B$1="NL",Data!K96,Data!J96)</f>
        <v>BUFFON_21001A95-</v>
      </c>
      <c r="C96">
        <v>1268</v>
      </c>
      <c r="D96">
        <v>984</v>
      </c>
      <c r="E96">
        <v>39.070982440000002</v>
      </c>
      <c r="F96">
        <v>0.98035714285714282</v>
      </c>
      <c r="G96">
        <f t="shared" si="3"/>
        <v>0.77602523659305989</v>
      </c>
      <c r="H96">
        <f t="shared" si="4"/>
        <v>0.65189460656400011</v>
      </c>
      <c r="I96">
        <f t="shared" si="5"/>
        <v>0.6782619254996034</v>
      </c>
      <c r="J96" t="s">
        <v>740</v>
      </c>
      <c r="K96" t="s">
        <v>740</v>
      </c>
    </row>
    <row r="97" spans="1:11" x14ac:dyDescent="0.3">
      <c r="A97" t="s">
        <v>537</v>
      </c>
      <c r="B97" t="str">
        <f>IF(Calculator!$B$1="NL",Data!K97,Data!J97)</f>
        <v>CAMBIER (AVENUE E.)_21015A36-</v>
      </c>
      <c r="C97">
        <v>903</v>
      </c>
      <c r="D97">
        <v>564</v>
      </c>
      <c r="E97">
        <v>32.59474556</v>
      </c>
      <c r="F97">
        <v>0.88073394495412849</v>
      </c>
      <c r="G97">
        <f t="shared" si="3"/>
        <v>0.62458471760797341</v>
      </c>
      <c r="H97">
        <f t="shared" si="4"/>
        <v>0.46991235023600003</v>
      </c>
      <c r="I97">
        <f t="shared" si="5"/>
        <v>0.51988610722588735</v>
      </c>
      <c r="J97" t="s">
        <v>741</v>
      </c>
      <c r="K97" t="s">
        <v>1341</v>
      </c>
    </row>
    <row r="98" spans="1:11" x14ac:dyDescent="0.3">
      <c r="A98" t="s">
        <v>387</v>
      </c>
      <c r="B98" t="str">
        <f>IF(Calculator!$B$1="NL",Data!K98,Data!J98)</f>
        <v>CAMPUS UNIVERSITAIRE_21009A2MJ</v>
      </c>
      <c r="C98">
        <v>1205</v>
      </c>
      <c r="D98">
        <v>176</v>
      </c>
      <c r="E98">
        <v>37.83208312</v>
      </c>
      <c r="F98">
        <v>0.28384279475982532</v>
      </c>
      <c r="G98">
        <f t="shared" si="3"/>
        <v>0.14605809128630706</v>
      </c>
      <c r="H98">
        <f t="shared" si="4"/>
        <v>0.61708153567200008</v>
      </c>
      <c r="I98">
        <f t="shared" si="5"/>
        <v>0.34341283213123824</v>
      </c>
      <c r="J98" t="s">
        <v>742</v>
      </c>
      <c r="K98" t="s">
        <v>1342</v>
      </c>
    </row>
    <row r="99" spans="1:11" x14ac:dyDescent="0.3">
      <c r="A99" t="s">
        <v>239</v>
      </c>
      <c r="B99" t="str">
        <f>IF(Calculator!$B$1="NL",Data!K99,Data!J99)</f>
        <v>CANAL-NORD_21012A732</v>
      </c>
      <c r="C99">
        <v>540</v>
      </c>
      <c r="D99">
        <v>272</v>
      </c>
      <c r="E99">
        <v>30.092617579999999</v>
      </c>
      <c r="F99">
        <v>0.77647058823529413</v>
      </c>
      <c r="G99">
        <f t="shared" si="3"/>
        <v>0.50370370370370365</v>
      </c>
      <c r="H99">
        <f t="shared" si="4"/>
        <v>0.39960255399799999</v>
      </c>
      <c r="I99">
        <f t="shared" si="5"/>
        <v>0.40648781596576666</v>
      </c>
      <c r="J99" t="s">
        <v>743</v>
      </c>
      <c r="K99" t="s">
        <v>1343</v>
      </c>
    </row>
    <row r="100" spans="1:11" x14ac:dyDescent="0.3">
      <c r="A100" t="s">
        <v>205</v>
      </c>
      <c r="B100" t="str">
        <f>IF(Calculator!$B$1="NL",Data!K100,Data!J100)</f>
        <v>CANAL-SUD_21012A011</v>
      </c>
      <c r="C100">
        <v>463</v>
      </c>
      <c r="D100">
        <v>191</v>
      </c>
      <c r="E100">
        <v>24.745898650000001</v>
      </c>
      <c r="F100">
        <v>0.85350318471337583</v>
      </c>
      <c r="G100">
        <f t="shared" si="3"/>
        <v>0.41252699784017277</v>
      </c>
      <c r="H100">
        <f t="shared" si="4"/>
        <v>0.249359752065</v>
      </c>
      <c r="I100">
        <f t="shared" si="5"/>
        <v>0.31439620620495706</v>
      </c>
      <c r="J100" t="s">
        <v>744</v>
      </c>
      <c r="K100" t="s">
        <v>1344</v>
      </c>
    </row>
    <row r="101" spans="1:11" x14ac:dyDescent="0.3">
      <c r="A101" t="s">
        <v>84</v>
      </c>
      <c r="B101" t="str">
        <f>IF(Calculator!$B$1="NL",Data!K101,Data!J101)</f>
        <v>CANARIS (AVENUE DES)_21002A22-</v>
      </c>
      <c r="C101">
        <v>398</v>
      </c>
      <c r="D101">
        <v>352</v>
      </c>
      <c r="E101">
        <v>42.265381679999997</v>
      </c>
      <c r="F101">
        <v>0.83636363636363631</v>
      </c>
      <c r="G101">
        <f t="shared" si="3"/>
        <v>0.88442211055276387</v>
      </c>
      <c r="H101">
        <f t="shared" si="4"/>
        <v>0.74165722520800004</v>
      </c>
      <c r="I101">
        <f t="shared" si="5"/>
        <v>0.73173570109234376</v>
      </c>
      <c r="J101" t="s">
        <v>745</v>
      </c>
      <c r="K101" t="s">
        <v>1345</v>
      </c>
    </row>
    <row r="102" spans="1:11" x14ac:dyDescent="0.3">
      <c r="A102" t="s">
        <v>604</v>
      </c>
      <c r="B102" t="str">
        <f>IF(Calculator!$B$1="NL",Data!K102,Data!J102)</f>
        <v>CAPITAINE PIRET (AVENUE)_21019A03-</v>
      </c>
      <c r="C102">
        <v>520</v>
      </c>
      <c r="D102">
        <v>426</v>
      </c>
      <c r="E102">
        <v>43.131028020000002</v>
      </c>
      <c r="F102">
        <v>1.0382513661202191</v>
      </c>
      <c r="G102">
        <f t="shared" si="3"/>
        <v>0.81923076923076921</v>
      </c>
      <c r="H102">
        <f t="shared" si="4"/>
        <v>0.76598188736200012</v>
      </c>
      <c r="I102">
        <f t="shared" si="5"/>
        <v>0.79260632829638467</v>
      </c>
      <c r="J102" t="s">
        <v>746</v>
      </c>
      <c r="K102" t="s">
        <v>1346</v>
      </c>
    </row>
    <row r="103" spans="1:11" x14ac:dyDescent="0.3">
      <c r="A103" t="s">
        <v>350</v>
      </c>
      <c r="B103" t="str">
        <f>IF(Calculator!$B$1="NL",Data!K103,Data!J103)</f>
        <v>CAPOUILLET (RUE)_21013A02-</v>
      </c>
      <c r="C103">
        <v>2057</v>
      </c>
      <c r="D103">
        <v>690</v>
      </c>
      <c r="E103">
        <v>33.390737780000002</v>
      </c>
      <c r="F103">
        <v>0.75284552845528452</v>
      </c>
      <c r="G103">
        <f t="shared" si="3"/>
        <v>0.33543996110841029</v>
      </c>
      <c r="H103">
        <f t="shared" si="4"/>
        <v>0.49227973161800004</v>
      </c>
      <c r="I103">
        <f t="shared" si="5"/>
        <v>0.37247386172688468</v>
      </c>
      <c r="J103" t="s">
        <v>747</v>
      </c>
      <c r="K103" t="s">
        <v>1347</v>
      </c>
    </row>
    <row r="104" spans="1:11" x14ac:dyDescent="0.3">
      <c r="A104" t="s">
        <v>498</v>
      </c>
      <c r="B104" t="str">
        <f>IF(Calculator!$B$1="NL",Data!K104,Data!J104)</f>
        <v>CARDINAL LAVIGERIE (RUE)_21005A33-</v>
      </c>
      <c r="C104">
        <v>860</v>
      </c>
      <c r="D104">
        <v>413</v>
      </c>
      <c r="E104">
        <v>29.715314859999999</v>
      </c>
      <c r="F104">
        <v>0.86940298507462688</v>
      </c>
      <c r="G104">
        <f t="shared" si="3"/>
        <v>0.48023255813953486</v>
      </c>
      <c r="H104">
        <f t="shared" si="4"/>
        <v>0.38900034756599994</v>
      </c>
      <c r="I104">
        <f t="shared" si="5"/>
        <v>0.41288563021012903</v>
      </c>
      <c r="J104" t="s">
        <v>748</v>
      </c>
      <c r="K104" t="s">
        <v>1348</v>
      </c>
    </row>
    <row r="105" spans="1:11" x14ac:dyDescent="0.3">
      <c r="A105" t="s">
        <v>479</v>
      </c>
      <c r="B105" t="str">
        <f>IF(Calculator!$B$1="NL",Data!K105,Data!J105)</f>
        <v>CARLI_21006A515</v>
      </c>
      <c r="C105">
        <v>411</v>
      </c>
      <c r="D105">
        <v>267</v>
      </c>
      <c r="E105">
        <v>40.784215770000003</v>
      </c>
      <c r="F105">
        <v>0.98461538461538467</v>
      </c>
      <c r="G105">
        <f t="shared" si="3"/>
        <v>0.64963503649635035</v>
      </c>
      <c r="H105">
        <f t="shared" si="4"/>
        <v>0.70003646313700019</v>
      </c>
      <c r="I105">
        <f t="shared" si="5"/>
        <v>0.64109396232584148</v>
      </c>
      <c r="J105" t="s">
        <v>749</v>
      </c>
      <c r="K105" t="s">
        <v>749</v>
      </c>
    </row>
    <row r="106" spans="1:11" x14ac:dyDescent="0.3">
      <c r="A106" t="s">
        <v>275</v>
      </c>
      <c r="B106" t="str">
        <f>IF(Calculator!$B$1="NL",Data!K106,Data!J106)</f>
        <v>CARLOO_21016A429</v>
      </c>
      <c r="C106">
        <v>756</v>
      </c>
      <c r="D106">
        <v>740</v>
      </c>
      <c r="E106">
        <v>53.019319269999997</v>
      </c>
      <c r="F106">
        <v>0.63200000000000001</v>
      </c>
      <c r="G106">
        <f t="shared" si="3"/>
        <v>0.97883597883597884</v>
      </c>
      <c r="H106">
        <f t="shared" si="4"/>
        <v>1.0438428714870001</v>
      </c>
      <c r="I106">
        <f t="shared" si="5"/>
        <v>0.91020548264534062</v>
      </c>
      <c r="J106" t="s">
        <v>750</v>
      </c>
      <c r="K106" t="s">
        <v>750</v>
      </c>
    </row>
    <row r="107" spans="1:11" x14ac:dyDescent="0.3">
      <c r="A107" t="s">
        <v>496</v>
      </c>
      <c r="B107" t="str">
        <f>IF(Calculator!$B$1="NL",Data!K107,Data!J107)</f>
        <v>CASERNE_21005A311</v>
      </c>
      <c r="C107">
        <v>827</v>
      </c>
      <c r="D107">
        <v>465</v>
      </c>
      <c r="E107">
        <v>30.803301080000001</v>
      </c>
      <c r="F107">
        <v>0.75129533678756477</v>
      </c>
      <c r="G107">
        <f t="shared" si="3"/>
        <v>0.56227327690447404</v>
      </c>
      <c r="H107">
        <f t="shared" si="4"/>
        <v>0.41957276034800001</v>
      </c>
      <c r="I107">
        <f t="shared" si="5"/>
        <v>0.4418307167636133</v>
      </c>
      <c r="J107" t="s">
        <v>751</v>
      </c>
      <c r="K107" t="s">
        <v>1349</v>
      </c>
    </row>
    <row r="108" spans="1:11" x14ac:dyDescent="0.3">
      <c r="A108" t="s">
        <v>418</v>
      </c>
      <c r="B108" t="str">
        <f>IF(Calculator!$B$1="NL",Data!K108,Data!J108)</f>
        <v>CASERNE_21009A922</v>
      </c>
      <c r="C108">
        <v>213</v>
      </c>
      <c r="D108">
        <v>61</v>
      </c>
      <c r="E108">
        <v>32.580325950000002</v>
      </c>
      <c r="F108">
        <v>0.7583333333333333</v>
      </c>
      <c r="G108">
        <f t="shared" si="3"/>
        <v>0.28638497652582162</v>
      </c>
      <c r="H108">
        <f t="shared" si="4"/>
        <v>0.46950715919500002</v>
      </c>
      <c r="I108">
        <f t="shared" si="5"/>
        <v>0.34015146107436978</v>
      </c>
      <c r="J108" t="s">
        <v>752</v>
      </c>
      <c r="K108" t="s">
        <v>1350</v>
      </c>
    </row>
    <row r="109" spans="1:11" x14ac:dyDescent="0.3">
      <c r="A109" t="s">
        <v>601</v>
      </c>
      <c r="B109" t="str">
        <f>IF(Calculator!$B$1="NL",Data!K109,Data!J109)</f>
        <v>CENTRE_21019A001</v>
      </c>
      <c r="C109">
        <v>860</v>
      </c>
      <c r="D109">
        <v>615</v>
      </c>
      <c r="E109">
        <v>42.487670530000003</v>
      </c>
      <c r="F109">
        <v>0.77589453860640301</v>
      </c>
      <c r="G109">
        <f t="shared" si="3"/>
        <v>0.71511627906976749</v>
      </c>
      <c r="H109">
        <f t="shared" si="4"/>
        <v>0.74790354189300001</v>
      </c>
      <c r="I109">
        <f t="shared" si="5"/>
        <v>0.65835891943324543</v>
      </c>
      <c r="J109" t="s">
        <v>753</v>
      </c>
      <c r="K109" t="s">
        <v>1351</v>
      </c>
    </row>
    <row r="110" spans="1:11" x14ac:dyDescent="0.3">
      <c r="A110" t="s">
        <v>204</v>
      </c>
      <c r="B110" t="str">
        <f>IF(Calculator!$B$1="NL",Data!K110,Data!J110)</f>
        <v>CENTRE_21012A00-</v>
      </c>
      <c r="C110">
        <v>945</v>
      </c>
      <c r="D110">
        <v>335</v>
      </c>
      <c r="E110">
        <v>30.457722499999999</v>
      </c>
      <c r="F110">
        <v>0.82300884955752207</v>
      </c>
      <c r="G110">
        <f t="shared" si="3"/>
        <v>0.35449735449735448</v>
      </c>
      <c r="H110">
        <f t="shared" si="4"/>
        <v>0.40986200224999997</v>
      </c>
      <c r="I110">
        <f t="shared" si="5"/>
        <v>0.34396171053630953</v>
      </c>
      <c r="J110" t="s">
        <v>754</v>
      </c>
      <c r="K110" t="s">
        <v>1352</v>
      </c>
    </row>
    <row r="111" spans="1:11" x14ac:dyDescent="0.3">
      <c r="A111" t="s">
        <v>454</v>
      </c>
      <c r="B111" t="str">
        <f>IF(Calculator!$B$1="NL",Data!K111,Data!J111)</f>
        <v>CENTRE_21006A011</v>
      </c>
      <c r="C111">
        <v>1123</v>
      </c>
      <c r="D111">
        <v>771</v>
      </c>
      <c r="E111">
        <v>42.52391884</v>
      </c>
      <c r="F111">
        <v>1.088471849865952</v>
      </c>
      <c r="G111">
        <f t="shared" si="3"/>
        <v>0.68655387355298303</v>
      </c>
      <c r="H111">
        <f t="shared" si="4"/>
        <v>0.74892211940400011</v>
      </c>
      <c r="I111">
        <f t="shared" si="5"/>
        <v>0.71773799647849157</v>
      </c>
      <c r="J111" t="s">
        <v>755</v>
      </c>
      <c r="K111" t="s">
        <v>1353</v>
      </c>
    </row>
    <row r="112" spans="1:11" x14ac:dyDescent="0.3">
      <c r="A112" t="s">
        <v>372</v>
      </c>
      <c r="B112" t="str">
        <f>IF(Calculator!$B$1="NL",Data!K112,Data!J112)</f>
        <v>CENTRE_21009A00-</v>
      </c>
      <c r="C112">
        <v>1605</v>
      </c>
      <c r="D112">
        <v>467</v>
      </c>
      <c r="E112">
        <v>30.37695313</v>
      </c>
      <c r="F112">
        <v>0.63461538461538458</v>
      </c>
      <c r="G112">
        <f t="shared" si="3"/>
        <v>0.29096573208722742</v>
      </c>
      <c r="H112">
        <f t="shared" si="4"/>
        <v>0.40759238295299999</v>
      </c>
      <c r="I112">
        <f t="shared" si="5"/>
        <v>0.3143511517681023</v>
      </c>
      <c r="J112" t="s">
        <v>756</v>
      </c>
      <c r="K112" t="s">
        <v>1354</v>
      </c>
    </row>
    <row r="113" spans="1:11" x14ac:dyDescent="0.3">
      <c r="A113" t="s">
        <v>499</v>
      </c>
      <c r="B113" t="str">
        <f>IF(Calculator!$B$1="NL",Data!K113,Data!J113)</f>
        <v>CENTRE_21010A00-</v>
      </c>
      <c r="C113">
        <v>2762</v>
      </c>
      <c r="D113">
        <v>1769</v>
      </c>
      <c r="E113">
        <v>37.221510909999999</v>
      </c>
      <c r="F113">
        <v>0.79122807017543861</v>
      </c>
      <c r="G113">
        <f t="shared" si="3"/>
        <v>0.64047791455467051</v>
      </c>
      <c r="H113">
        <f t="shared" si="4"/>
        <v>0.59992445657100002</v>
      </c>
      <c r="I113">
        <f t="shared" si="5"/>
        <v>0.55818106700655179</v>
      </c>
      <c r="J113" t="s">
        <v>757</v>
      </c>
      <c r="K113" t="s">
        <v>1355</v>
      </c>
    </row>
    <row r="114" spans="1:11" x14ac:dyDescent="0.3">
      <c r="A114" t="s">
        <v>98</v>
      </c>
      <c r="B114" t="str">
        <f>IF(Calculator!$B$1="NL",Data!K114,Data!J114)</f>
        <v>CENTRE_21003A00-</v>
      </c>
      <c r="C114">
        <v>1198</v>
      </c>
      <c r="D114">
        <v>843</v>
      </c>
      <c r="E114">
        <v>35.367273660000002</v>
      </c>
      <c r="F114">
        <v>0.7649253731343284</v>
      </c>
      <c r="G114">
        <f t="shared" si="3"/>
        <v>0.70367278797996657</v>
      </c>
      <c r="H114">
        <f t="shared" si="4"/>
        <v>0.54782038984600012</v>
      </c>
      <c r="I114">
        <f t="shared" si="5"/>
        <v>0.56317193002168509</v>
      </c>
      <c r="J114" t="s">
        <v>758</v>
      </c>
      <c r="K114" t="s">
        <v>1356</v>
      </c>
    </row>
    <row r="115" spans="1:11" x14ac:dyDescent="0.3">
      <c r="A115" t="s">
        <v>333</v>
      </c>
      <c r="B115" t="str">
        <f>IF(Calculator!$B$1="NL",Data!K115,Data!J115)</f>
        <v>CENTRE_21008A00-</v>
      </c>
      <c r="C115">
        <v>481</v>
      </c>
      <c r="D115">
        <v>334</v>
      </c>
      <c r="E115">
        <v>33.612743790000003</v>
      </c>
      <c r="F115">
        <v>0.78787878787878785</v>
      </c>
      <c r="G115">
        <f t="shared" si="3"/>
        <v>0.69438669438669443</v>
      </c>
      <c r="H115">
        <f t="shared" si="4"/>
        <v>0.49851810049900008</v>
      </c>
      <c r="I115">
        <f t="shared" si="5"/>
        <v>0.53680715769856258</v>
      </c>
      <c r="J115" t="s">
        <v>759</v>
      </c>
      <c r="K115" t="s">
        <v>1357</v>
      </c>
    </row>
    <row r="116" spans="1:11" x14ac:dyDescent="0.3">
      <c r="A116" t="s">
        <v>71</v>
      </c>
      <c r="B116" t="str">
        <f>IF(Calculator!$B$1="NL",Data!K116,Data!J116)</f>
        <v>CENTRE - NORD_21002A00-</v>
      </c>
      <c r="C116">
        <v>703</v>
      </c>
      <c r="D116">
        <v>551</v>
      </c>
      <c r="E116">
        <v>40.921195230000002</v>
      </c>
      <c r="F116">
        <v>0.63360881542699721</v>
      </c>
      <c r="G116">
        <f t="shared" si="3"/>
        <v>0.78378378378378377</v>
      </c>
      <c r="H116">
        <f t="shared" si="4"/>
        <v>0.70388558596300022</v>
      </c>
      <c r="I116">
        <f t="shared" si="5"/>
        <v>0.66945121638605276</v>
      </c>
      <c r="J116" t="s">
        <v>760</v>
      </c>
      <c r="K116" t="s">
        <v>1358</v>
      </c>
    </row>
    <row r="117" spans="1:11" x14ac:dyDescent="0.3">
      <c r="A117" t="s">
        <v>303</v>
      </c>
      <c r="B117" t="str">
        <f>IF(Calculator!$B$1="NL",Data!K117,Data!J117)</f>
        <v>CENTRE DE BOITSFORT_21017A000</v>
      </c>
      <c r="C117">
        <v>510</v>
      </c>
      <c r="D117">
        <v>359</v>
      </c>
      <c r="E117">
        <v>43.443888919999999</v>
      </c>
      <c r="F117">
        <v>0.63242009132420096</v>
      </c>
      <c r="G117">
        <f t="shared" si="3"/>
        <v>0.70392156862745103</v>
      </c>
      <c r="H117">
        <f t="shared" si="4"/>
        <v>0.77477327865200007</v>
      </c>
      <c r="I117">
        <f t="shared" si="5"/>
        <v>0.66541268127575293</v>
      </c>
      <c r="J117" t="s">
        <v>761</v>
      </c>
      <c r="K117" t="s">
        <v>1359</v>
      </c>
    </row>
    <row r="118" spans="1:11" x14ac:dyDescent="0.3">
      <c r="A118" t="s">
        <v>318</v>
      </c>
      <c r="B118" t="str">
        <f>IF(Calculator!$B$1="NL",Data!K118,Data!J118)</f>
        <v>CENTRE DE WATERMAEL_21017A501</v>
      </c>
      <c r="C118">
        <v>192</v>
      </c>
      <c r="D118">
        <v>127</v>
      </c>
      <c r="E118">
        <v>38.493898950000002</v>
      </c>
      <c r="F118">
        <v>0.86956521739130432</v>
      </c>
      <c r="G118">
        <f t="shared" si="3"/>
        <v>0.66145833333333337</v>
      </c>
      <c r="H118">
        <f t="shared" si="4"/>
        <v>0.63567856049500016</v>
      </c>
      <c r="I118">
        <f t="shared" si="5"/>
        <v>0.6161400245684584</v>
      </c>
      <c r="J118" t="s">
        <v>762</v>
      </c>
      <c r="K118" t="s">
        <v>1360</v>
      </c>
    </row>
    <row r="119" spans="1:11" x14ac:dyDescent="0.3">
      <c r="A119" t="s">
        <v>419</v>
      </c>
      <c r="B119" t="str">
        <f>IF(Calculator!$B$1="NL",Data!K119,Data!J119)</f>
        <v>CENTRE SAINT-DENIS_21007A00-</v>
      </c>
      <c r="C119">
        <v>1768</v>
      </c>
      <c r="D119">
        <v>769</v>
      </c>
      <c r="E119">
        <v>39.776724309999999</v>
      </c>
      <c r="F119">
        <v>0.66666666666666663</v>
      </c>
      <c r="G119">
        <f t="shared" si="3"/>
        <v>0.43495475113122173</v>
      </c>
      <c r="H119">
        <f t="shared" si="4"/>
        <v>0.67172595311100003</v>
      </c>
      <c r="I119">
        <f t="shared" si="5"/>
        <v>0.49800631690899982</v>
      </c>
      <c r="J119" t="s">
        <v>763</v>
      </c>
      <c r="K119" t="s">
        <v>1361</v>
      </c>
    </row>
    <row r="120" spans="1:11" x14ac:dyDescent="0.3">
      <c r="A120" t="s">
        <v>297</v>
      </c>
      <c r="B120" t="str">
        <f>IF(Calculator!$B$1="NL",Data!K120,Data!J120)</f>
        <v>CENTRE-OUEST_21016A901</v>
      </c>
      <c r="C120">
        <v>1034</v>
      </c>
      <c r="D120">
        <v>747</v>
      </c>
      <c r="E120">
        <v>46.029751529999999</v>
      </c>
      <c r="F120">
        <v>0.91836734693877553</v>
      </c>
      <c r="G120">
        <f t="shared" si="3"/>
        <v>0.72243713733075432</v>
      </c>
      <c r="H120">
        <f t="shared" si="4"/>
        <v>0.84743601799300006</v>
      </c>
      <c r="I120">
        <f t="shared" si="5"/>
        <v>0.74568974877878325</v>
      </c>
      <c r="J120" t="s">
        <v>764</v>
      </c>
      <c r="K120" t="s">
        <v>1362</v>
      </c>
    </row>
    <row r="121" spans="1:11" x14ac:dyDescent="0.3">
      <c r="A121" t="s">
        <v>73</v>
      </c>
      <c r="B121" t="str">
        <f>IF(Calculator!$B$1="NL",Data!K121,Data!J121)</f>
        <v>CENTRE-SUD_21002A02-</v>
      </c>
      <c r="C121">
        <v>495</v>
      </c>
      <c r="D121">
        <v>359</v>
      </c>
      <c r="E121">
        <v>36.639885</v>
      </c>
      <c r="F121">
        <v>0.64750957854406133</v>
      </c>
      <c r="G121">
        <f t="shared" si="3"/>
        <v>0.72525252525252526</v>
      </c>
      <c r="H121">
        <f t="shared" si="4"/>
        <v>0.58358076850000007</v>
      </c>
      <c r="I121">
        <f t="shared" si="5"/>
        <v>0.58897498218863642</v>
      </c>
      <c r="J121" t="s">
        <v>765</v>
      </c>
      <c r="K121" t="s">
        <v>1363</v>
      </c>
    </row>
    <row r="122" spans="1:11" x14ac:dyDescent="0.3">
      <c r="A122" t="s">
        <v>21</v>
      </c>
      <c r="B122" t="str">
        <f>IF(Calculator!$B$1="NL",Data!K122,Data!J122)</f>
        <v>CERIA - ZONE D'HABITAT_21001A350</v>
      </c>
      <c r="C122">
        <v>728</v>
      </c>
      <c r="D122">
        <v>339</v>
      </c>
      <c r="E122">
        <v>40.043526139999997</v>
      </c>
      <c r="F122">
        <v>0.70985915492957752</v>
      </c>
      <c r="G122">
        <f t="shared" si="3"/>
        <v>0.46565934065934067</v>
      </c>
      <c r="H122">
        <f t="shared" si="4"/>
        <v>0.67922308453399993</v>
      </c>
      <c r="I122">
        <f t="shared" si="5"/>
        <v>0.5151970913370032</v>
      </c>
      <c r="J122" t="s">
        <v>766</v>
      </c>
      <c r="K122" t="s">
        <v>1364</v>
      </c>
    </row>
    <row r="123" spans="1:11" x14ac:dyDescent="0.3">
      <c r="A123" t="s">
        <v>545</v>
      </c>
      <c r="B123" t="str">
        <f>IF(Calculator!$B$1="NL",Data!K123,Data!J123)</f>
        <v>CERISIERS (AVENUE DES)_21015A51-</v>
      </c>
      <c r="C123">
        <v>822</v>
      </c>
      <c r="D123">
        <v>633</v>
      </c>
      <c r="E123">
        <v>34.745447820000003</v>
      </c>
      <c r="F123">
        <v>0.89635854341736698</v>
      </c>
      <c r="G123">
        <f t="shared" si="3"/>
        <v>0.77007299270072993</v>
      </c>
      <c r="H123">
        <f t="shared" si="4"/>
        <v>0.53034708374200012</v>
      </c>
      <c r="I123">
        <f t="shared" si="5"/>
        <v>0.61769953631029673</v>
      </c>
      <c r="J123" t="s">
        <v>767</v>
      </c>
      <c r="K123" t="s">
        <v>1365</v>
      </c>
    </row>
    <row r="124" spans="1:11" x14ac:dyDescent="0.3">
      <c r="A124" t="s">
        <v>560</v>
      </c>
      <c r="B124" t="str">
        <f>IF(Calculator!$B$1="NL",Data!K124,Data!J124)</f>
        <v>CH. GILISQUET - SUD (AVENUE)_21015A822</v>
      </c>
      <c r="C124">
        <v>181</v>
      </c>
      <c r="D124">
        <v>103</v>
      </c>
      <c r="E124">
        <v>34.153304149999997</v>
      </c>
      <c r="F124">
        <v>0.88235294117647056</v>
      </c>
      <c r="G124">
        <f t="shared" si="3"/>
        <v>0.56906077348066297</v>
      </c>
      <c r="H124">
        <f t="shared" si="4"/>
        <v>0.5137078466149998</v>
      </c>
      <c r="I124">
        <f t="shared" si="5"/>
        <v>0.51431509454543978</v>
      </c>
      <c r="J124" t="s">
        <v>768</v>
      </c>
      <c r="K124" t="s">
        <v>1366</v>
      </c>
    </row>
    <row r="125" spans="1:11" x14ac:dyDescent="0.3">
      <c r="A125" t="s">
        <v>458</v>
      </c>
      <c r="B125" t="str">
        <f>IF(Calculator!$B$1="NL",Data!K125,Data!J125)</f>
        <v>CHAMP DE REPOS_21006A052</v>
      </c>
      <c r="C125">
        <v>1092</v>
      </c>
      <c r="D125">
        <v>735</v>
      </c>
      <c r="E125">
        <v>37.708848019999998</v>
      </c>
      <c r="F125">
        <v>0.94153225806451613</v>
      </c>
      <c r="G125">
        <f t="shared" si="3"/>
        <v>0.67307692307692313</v>
      </c>
      <c r="H125">
        <f t="shared" si="4"/>
        <v>0.61361862936200007</v>
      </c>
      <c r="I125">
        <f t="shared" si="5"/>
        <v>0.61118038740848846</v>
      </c>
      <c r="J125" t="s">
        <v>769</v>
      </c>
      <c r="K125" t="s">
        <v>1367</v>
      </c>
    </row>
    <row r="126" spans="1:11" x14ac:dyDescent="0.3">
      <c r="A126" t="s">
        <v>482</v>
      </c>
      <c r="B126" t="str">
        <f>IF(Calculator!$B$1="NL",Data!K126,Data!J126)</f>
        <v>CHAMP DU ROI (RUE)_21005A02-</v>
      </c>
      <c r="C126">
        <v>1742</v>
      </c>
      <c r="D126">
        <v>635</v>
      </c>
      <c r="E126">
        <v>35.639333370000003</v>
      </c>
      <c r="F126">
        <v>0.91511035653650252</v>
      </c>
      <c r="G126">
        <f t="shared" si="3"/>
        <v>0.36452353616532723</v>
      </c>
      <c r="H126">
        <f t="shared" si="4"/>
        <v>0.55546526769700022</v>
      </c>
      <c r="I126">
        <f t="shared" si="5"/>
        <v>0.43699468183460549</v>
      </c>
      <c r="J126" t="s">
        <v>770</v>
      </c>
      <c r="K126" t="s">
        <v>1368</v>
      </c>
    </row>
    <row r="127" spans="1:11" x14ac:dyDescent="0.3">
      <c r="A127" t="s">
        <v>572</v>
      </c>
      <c r="B127" t="str">
        <f>IF(Calculator!$B$1="NL",Data!K127,Data!J127)</f>
        <v>CHANCELLERIE_21018A14-</v>
      </c>
      <c r="C127">
        <v>617</v>
      </c>
      <c r="D127">
        <v>335</v>
      </c>
      <c r="E127">
        <v>41.800537310000003</v>
      </c>
      <c r="F127">
        <v>0.82269503546099287</v>
      </c>
      <c r="G127">
        <f t="shared" si="3"/>
        <v>0.5429497568881686</v>
      </c>
      <c r="H127">
        <f t="shared" si="4"/>
        <v>0.72859509841100012</v>
      </c>
      <c r="I127">
        <f t="shared" si="5"/>
        <v>0.57219518488462595</v>
      </c>
      <c r="J127" t="s">
        <v>771</v>
      </c>
      <c r="K127" t="s">
        <v>1369</v>
      </c>
    </row>
    <row r="128" spans="1:11" x14ac:dyDescent="0.3">
      <c r="A128" t="s">
        <v>621</v>
      </c>
      <c r="B128" t="str">
        <f>IF(Calculator!$B$1="NL",Data!K128,Data!J128)</f>
        <v>CHANT D'OISEAU_21019A32-</v>
      </c>
      <c r="C128">
        <v>1167</v>
      </c>
      <c r="D128">
        <v>1074</v>
      </c>
      <c r="E128">
        <v>43.714494100000003</v>
      </c>
      <c r="F128">
        <v>0.6561822125813449</v>
      </c>
      <c r="G128">
        <f t="shared" si="3"/>
        <v>0.92030848329048842</v>
      </c>
      <c r="H128">
        <f t="shared" si="4"/>
        <v>0.78237728421000008</v>
      </c>
      <c r="I128">
        <f t="shared" si="5"/>
        <v>0.76620859537521979</v>
      </c>
      <c r="J128" t="s">
        <v>772</v>
      </c>
      <c r="K128" t="s">
        <v>1370</v>
      </c>
    </row>
    <row r="129" spans="1:11" x14ac:dyDescent="0.3">
      <c r="A129" t="s">
        <v>93</v>
      </c>
      <c r="B129" t="str">
        <f>IF(Calculator!$B$1="NL",Data!K129,Data!J129)</f>
        <v>CHANT D'OISEAUX_21002A441</v>
      </c>
      <c r="C129">
        <v>462</v>
      </c>
      <c r="D129">
        <v>526</v>
      </c>
      <c r="E129">
        <v>48.1097672</v>
      </c>
      <c r="F129">
        <v>0.72053231939163498</v>
      </c>
      <c r="G129">
        <f t="shared" si="3"/>
        <v>1.1385281385281385</v>
      </c>
      <c r="H129">
        <f t="shared" si="4"/>
        <v>0.90588445832000009</v>
      </c>
      <c r="I129">
        <f t="shared" si="5"/>
        <v>0.91998566858166231</v>
      </c>
      <c r="J129" t="s">
        <v>773</v>
      </c>
      <c r="K129" t="s">
        <v>1371</v>
      </c>
    </row>
    <row r="130" spans="1:11" x14ac:dyDescent="0.3">
      <c r="A130" t="s">
        <v>64</v>
      </c>
      <c r="B130" t="str">
        <f>IF(Calculator!$B$1="NL",Data!K130,Data!J130)</f>
        <v>CHANTS D'OISEAUX_21001C512</v>
      </c>
      <c r="C130">
        <v>621</v>
      </c>
      <c r="D130">
        <v>408</v>
      </c>
      <c r="E130">
        <v>33.823818340000003</v>
      </c>
      <c r="F130">
        <v>0.35897435897435898</v>
      </c>
      <c r="G130">
        <f t="shared" ref="G130:G193" si="6">D130/C130</f>
        <v>0.65700483091787443</v>
      </c>
      <c r="H130">
        <f t="shared" si="4"/>
        <v>0.50444929535400007</v>
      </c>
      <c r="I130">
        <f t="shared" si="5"/>
        <v>0.52265435682234351</v>
      </c>
      <c r="J130" t="s">
        <v>774</v>
      </c>
      <c r="K130" t="s">
        <v>1372</v>
      </c>
    </row>
    <row r="131" spans="1:11" x14ac:dyDescent="0.3">
      <c r="A131" t="s">
        <v>248</v>
      </c>
      <c r="B131" t="str">
        <f>IF(Calculator!$B$1="NL",Data!K131,Data!J131)</f>
        <v>CHARITE_21014A02-</v>
      </c>
      <c r="C131">
        <v>1006</v>
      </c>
      <c r="D131">
        <v>248</v>
      </c>
      <c r="E131">
        <v>29.330292050000001</v>
      </c>
      <c r="F131">
        <v>0.87333333333333329</v>
      </c>
      <c r="G131">
        <f t="shared" si="6"/>
        <v>0.24652087475149106</v>
      </c>
      <c r="H131">
        <f t="shared" ref="H131:H194" si="7">0.0281*E131-0.446</f>
        <v>0.37818120660500004</v>
      </c>
      <c r="I131">
        <f t="shared" ref="I131:I194" si="8">(G131+H131)/2*IF(F131&lt;85%,0.9,IF(F131&gt;100%,1,0.95))</f>
        <v>0.29673348864433324</v>
      </c>
      <c r="J131" t="s">
        <v>775</v>
      </c>
      <c r="K131" t="s">
        <v>1373</v>
      </c>
    </row>
    <row r="132" spans="1:11" x14ac:dyDescent="0.3">
      <c r="A132" t="s">
        <v>337</v>
      </c>
      <c r="B132" t="str">
        <f>IF(Calculator!$B$1="NL",Data!K132,Data!J132)</f>
        <v>CHARLES-QUINT_21008A20-</v>
      </c>
      <c r="C132">
        <v>1790</v>
      </c>
      <c r="D132">
        <v>1161</v>
      </c>
      <c r="E132">
        <v>38.07098242</v>
      </c>
      <c r="F132">
        <v>0.92974238875878223</v>
      </c>
      <c r="G132">
        <f t="shared" si="6"/>
        <v>0.64860335195530727</v>
      </c>
      <c r="H132">
        <f t="shared" si="7"/>
        <v>0.6237946060020001</v>
      </c>
      <c r="I132">
        <f t="shared" si="8"/>
        <v>0.604389030029721</v>
      </c>
      <c r="J132" t="s">
        <v>776</v>
      </c>
      <c r="K132" t="s">
        <v>1374</v>
      </c>
    </row>
    <row r="133" spans="1:11" x14ac:dyDescent="0.3">
      <c r="A133" t="s">
        <v>347</v>
      </c>
      <c r="B133" t="str">
        <f>IF(Calculator!$B$1="NL",Data!K133,Data!J133)</f>
        <v>CHARTE_21008A35-</v>
      </c>
      <c r="C133">
        <v>141</v>
      </c>
      <c r="D133">
        <v>149</v>
      </c>
      <c r="E133">
        <v>38.575633680000003</v>
      </c>
      <c r="F133">
        <v>0.96202531645569622</v>
      </c>
      <c r="G133">
        <f t="shared" si="6"/>
        <v>1.0567375886524824</v>
      </c>
      <c r="H133">
        <f t="shared" si="7"/>
        <v>0.63797530640800004</v>
      </c>
      <c r="I133">
        <f t="shared" si="8"/>
        <v>0.80498862515372915</v>
      </c>
      <c r="J133" t="s">
        <v>777</v>
      </c>
      <c r="K133" t="s">
        <v>1375</v>
      </c>
    </row>
    <row r="134" spans="1:11" x14ac:dyDescent="0.3">
      <c r="A134" t="s">
        <v>439</v>
      </c>
      <c r="B134" t="str">
        <f>IF(Calculator!$B$1="NL",Data!K134,Data!J134)</f>
        <v>CHATAIGNE_21007A51-</v>
      </c>
      <c r="C134">
        <v>542</v>
      </c>
      <c r="D134">
        <v>330</v>
      </c>
      <c r="E134">
        <v>36.356269159999997</v>
      </c>
      <c r="F134">
        <v>1.018779342723005</v>
      </c>
      <c r="G134">
        <f t="shared" si="6"/>
        <v>0.60885608856088558</v>
      </c>
      <c r="H134">
        <f t="shared" si="7"/>
        <v>0.57561116339599994</v>
      </c>
      <c r="I134">
        <f t="shared" si="8"/>
        <v>0.59223362597844276</v>
      </c>
      <c r="J134" t="s">
        <v>778</v>
      </c>
      <c r="K134" t="s">
        <v>1376</v>
      </c>
    </row>
    <row r="135" spans="1:11" x14ac:dyDescent="0.3">
      <c r="A135" t="s">
        <v>397</v>
      </c>
      <c r="B135" t="str">
        <f>IF(Calculator!$B$1="NL",Data!K135,Data!J135)</f>
        <v>CHATELAIN (PLACE DU)-EST_21009A451</v>
      </c>
      <c r="C135">
        <v>1465</v>
      </c>
      <c r="D135">
        <v>620</v>
      </c>
      <c r="E135">
        <v>35.444601570000003</v>
      </c>
      <c r="F135">
        <v>0.65058236272878534</v>
      </c>
      <c r="G135">
        <f t="shared" si="6"/>
        <v>0.42320819112627989</v>
      </c>
      <c r="H135">
        <f t="shared" si="7"/>
        <v>0.54999330411699998</v>
      </c>
      <c r="I135">
        <f t="shared" si="8"/>
        <v>0.43794067285947597</v>
      </c>
      <c r="J135" t="s">
        <v>779</v>
      </c>
      <c r="K135" t="s">
        <v>1377</v>
      </c>
    </row>
    <row r="136" spans="1:11" x14ac:dyDescent="0.3">
      <c r="A136" t="s">
        <v>409</v>
      </c>
      <c r="B136" t="str">
        <f>IF(Calculator!$B$1="NL",Data!K136,Data!J136)</f>
        <v>CHATELAIN (PLACE DU)-OUEST_21009A712</v>
      </c>
      <c r="C136">
        <v>614</v>
      </c>
      <c r="D136">
        <v>237</v>
      </c>
      <c r="E136">
        <v>32.329276049999997</v>
      </c>
      <c r="F136">
        <v>0.5544554455445545</v>
      </c>
      <c r="G136">
        <f t="shared" si="6"/>
        <v>0.38599348534201955</v>
      </c>
      <c r="H136">
        <f t="shared" si="7"/>
        <v>0.46245265700499988</v>
      </c>
      <c r="I136">
        <f t="shared" si="8"/>
        <v>0.38180076405615876</v>
      </c>
      <c r="J136" t="s">
        <v>780</v>
      </c>
      <c r="K136" t="s">
        <v>1378</v>
      </c>
    </row>
    <row r="137" spans="1:11" x14ac:dyDescent="0.3">
      <c r="A137" t="s">
        <v>447</v>
      </c>
      <c r="B137" t="str">
        <f>IF(Calculator!$B$1="NL",Data!K137,Data!J137)</f>
        <v>CHAUSSEE D'ALSEMBERG_21007A71-</v>
      </c>
      <c r="C137">
        <v>668</v>
      </c>
      <c r="D137">
        <v>256</v>
      </c>
      <c r="E137">
        <v>33.811675409999999</v>
      </c>
      <c r="F137">
        <v>0.8597560975609756</v>
      </c>
      <c r="G137">
        <f t="shared" si="6"/>
        <v>0.38323353293413176</v>
      </c>
      <c r="H137">
        <f t="shared" si="7"/>
        <v>0.50410807902099997</v>
      </c>
      <c r="I137">
        <f t="shared" si="8"/>
        <v>0.42148726567868755</v>
      </c>
      <c r="J137" t="s">
        <v>781</v>
      </c>
      <c r="K137" t="s">
        <v>1379</v>
      </c>
    </row>
    <row r="138" spans="1:11" x14ac:dyDescent="0.3">
      <c r="A138" t="s">
        <v>17</v>
      </c>
      <c r="B138" t="str">
        <f>IF(Calculator!$B$1="NL",Data!K138,Data!J138)</f>
        <v>CHAUSSEE DE MONS - SAINT-LUC_21001A31-</v>
      </c>
      <c r="C138">
        <v>329</v>
      </c>
      <c r="D138">
        <v>159</v>
      </c>
      <c r="E138">
        <v>38.243763199999997</v>
      </c>
      <c r="F138">
        <v>0.81640625</v>
      </c>
      <c r="G138">
        <f t="shared" si="6"/>
        <v>0.48328267477203646</v>
      </c>
      <c r="H138">
        <f t="shared" si="7"/>
        <v>0.62864974592</v>
      </c>
      <c r="I138">
        <f t="shared" si="8"/>
        <v>0.5003695893114164</v>
      </c>
      <c r="J138" t="s">
        <v>782</v>
      </c>
      <c r="K138" t="s">
        <v>1380</v>
      </c>
    </row>
    <row r="139" spans="1:11" x14ac:dyDescent="0.3">
      <c r="A139" t="s">
        <v>270</v>
      </c>
      <c r="B139" t="str">
        <f>IF(Calculator!$B$1="NL",Data!K139,Data!J139)</f>
        <v>CHAUSSEE DE WATERLOO-EST_21016A322</v>
      </c>
      <c r="C139">
        <v>412</v>
      </c>
      <c r="D139">
        <v>336</v>
      </c>
      <c r="E139">
        <v>42.453814899999998</v>
      </c>
      <c r="F139">
        <v>0.47872340425531917</v>
      </c>
      <c r="G139">
        <f t="shared" si="6"/>
        <v>0.81553398058252424</v>
      </c>
      <c r="H139">
        <f t="shared" si="7"/>
        <v>0.74695219869000007</v>
      </c>
      <c r="I139">
        <f t="shared" si="8"/>
        <v>0.70311878067263589</v>
      </c>
      <c r="J139" t="s">
        <v>783</v>
      </c>
      <c r="K139" t="s">
        <v>1381</v>
      </c>
    </row>
    <row r="140" spans="1:11" x14ac:dyDescent="0.3">
      <c r="A140" t="s">
        <v>271</v>
      </c>
      <c r="B140" t="str">
        <f>IF(Calculator!$B$1="NL",Data!K140,Data!J140)</f>
        <v>CHAUSSEE DE WATERLOO-OUEST_21016A331</v>
      </c>
      <c r="C140">
        <v>146</v>
      </c>
      <c r="D140">
        <v>121</v>
      </c>
      <c r="E140">
        <v>43.417557279999997</v>
      </c>
      <c r="F140">
        <v>0.39240506329113922</v>
      </c>
      <c r="G140">
        <f t="shared" si="6"/>
        <v>0.82876712328767121</v>
      </c>
      <c r="H140">
        <f t="shared" si="7"/>
        <v>0.77403335956800001</v>
      </c>
      <c r="I140">
        <f t="shared" si="8"/>
        <v>0.72126021728505207</v>
      </c>
      <c r="J140" t="s">
        <v>784</v>
      </c>
      <c r="K140" t="s">
        <v>1382</v>
      </c>
    </row>
    <row r="141" spans="1:11" x14ac:dyDescent="0.3">
      <c r="A141" t="s">
        <v>293</v>
      </c>
      <c r="B141" t="str">
        <f>IF(Calculator!$B$1="NL",Data!K141,Data!J141)</f>
        <v>CHURCHILL_21016A82-</v>
      </c>
      <c r="C141">
        <v>2761</v>
      </c>
      <c r="D141">
        <v>1824</v>
      </c>
      <c r="E141">
        <v>35.050699899999998</v>
      </c>
      <c r="F141">
        <v>0.76818181818181819</v>
      </c>
      <c r="G141">
        <f t="shared" si="6"/>
        <v>0.66063020644693948</v>
      </c>
      <c r="H141">
        <f t="shared" si="7"/>
        <v>0.53892466718999987</v>
      </c>
      <c r="I141">
        <f t="shared" si="8"/>
        <v>0.53979969313662268</v>
      </c>
      <c r="J141" t="s">
        <v>785</v>
      </c>
      <c r="K141" t="s">
        <v>785</v>
      </c>
    </row>
    <row r="142" spans="1:11" x14ac:dyDescent="0.3">
      <c r="A142" t="s">
        <v>558</v>
      </c>
      <c r="B142" t="str">
        <f>IF(Calculator!$B$1="NL",Data!K142,Data!J142)</f>
        <v>CIMETIERE DE SAINT-JOSSE_21015A782</v>
      </c>
      <c r="C142">
        <v>140</v>
      </c>
      <c r="D142">
        <v>77</v>
      </c>
      <c r="E142">
        <v>38.40977943</v>
      </c>
      <c r="F142">
        <v>1.1481481481481479</v>
      </c>
      <c r="G142">
        <f t="shared" si="6"/>
        <v>0.55000000000000004</v>
      </c>
      <c r="H142">
        <f t="shared" si="7"/>
        <v>0.63331480198300016</v>
      </c>
      <c r="I142">
        <f t="shared" si="8"/>
        <v>0.5916574009915001</v>
      </c>
      <c r="J142" t="s">
        <v>786</v>
      </c>
      <c r="K142" t="s">
        <v>1383</v>
      </c>
    </row>
    <row r="143" spans="1:11" x14ac:dyDescent="0.3">
      <c r="A143" t="s">
        <v>136</v>
      </c>
      <c r="B143" t="str">
        <f>IF(Calculator!$B$1="NL",Data!K143,Data!J143)</f>
        <v>CITE ADMINISTRATIVE ET CONGRES_21004A3MJ</v>
      </c>
      <c r="C143">
        <v>107</v>
      </c>
      <c r="D143">
        <v>43</v>
      </c>
      <c r="E143">
        <v>30.144343630000002</v>
      </c>
      <c r="F143">
        <v>0.42567567567567571</v>
      </c>
      <c r="G143">
        <f t="shared" si="6"/>
        <v>0.40186915887850466</v>
      </c>
      <c r="H143">
        <f t="shared" si="7"/>
        <v>0.40105605600300004</v>
      </c>
      <c r="I143">
        <f t="shared" si="8"/>
        <v>0.36131634669667712</v>
      </c>
      <c r="J143" t="s">
        <v>787</v>
      </c>
      <c r="K143" t="s">
        <v>1384</v>
      </c>
    </row>
    <row r="144" spans="1:11" x14ac:dyDescent="0.3">
      <c r="A144" t="s">
        <v>147</v>
      </c>
      <c r="B144" t="str">
        <f>IF(Calculator!$B$1="NL",Data!K144,Data!J144)</f>
        <v>CITE DE LA CHAUSSEE_21004B2NJ</v>
      </c>
      <c r="C144">
        <v>340</v>
      </c>
      <c r="D144">
        <v>89</v>
      </c>
      <c r="E144">
        <v>28.002591880000001</v>
      </c>
      <c r="F144">
        <v>0.51851851851851849</v>
      </c>
      <c r="G144">
        <f t="shared" si="6"/>
        <v>0.26176470588235295</v>
      </c>
      <c r="H144">
        <f t="shared" si="7"/>
        <v>0.34087283182800004</v>
      </c>
      <c r="I144">
        <f t="shared" si="8"/>
        <v>0.27118689196965884</v>
      </c>
      <c r="J144" t="s">
        <v>788</v>
      </c>
      <c r="K144" t="s">
        <v>1385</v>
      </c>
    </row>
    <row r="145" spans="1:11" x14ac:dyDescent="0.3">
      <c r="A145" t="s">
        <v>626</v>
      </c>
      <c r="B145" t="str">
        <f>IF(Calculator!$B$1="NL",Data!K145,Data!J145)</f>
        <v>CITE JOLI-BOIS_21019A41-</v>
      </c>
      <c r="C145">
        <v>453</v>
      </c>
      <c r="D145">
        <v>435</v>
      </c>
      <c r="E145">
        <v>61.317996260000001</v>
      </c>
      <c r="F145">
        <v>0.5864661654135338</v>
      </c>
      <c r="G145">
        <f t="shared" si="6"/>
        <v>0.96026490066225167</v>
      </c>
      <c r="H145">
        <f t="shared" si="7"/>
        <v>1.277035694906</v>
      </c>
      <c r="I145">
        <f t="shared" si="8"/>
        <v>1.0067852680057134</v>
      </c>
      <c r="J145" t="s">
        <v>789</v>
      </c>
      <c r="K145" t="s">
        <v>1386</v>
      </c>
    </row>
    <row r="146" spans="1:11" x14ac:dyDescent="0.3">
      <c r="A146" t="s">
        <v>187</v>
      </c>
      <c r="B146" t="str">
        <f>IF(Calculator!$B$1="NL",Data!K146,Data!J146)</f>
        <v>CITE MODELE_21004E82-</v>
      </c>
      <c r="C146">
        <v>1446</v>
      </c>
      <c r="D146">
        <v>655</v>
      </c>
      <c r="E146">
        <v>39.362924069999998</v>
      </c>
      <c r="F146">
        <v>0.67497168742921854</v>
      </c>
      <c r="G146">
        <f t="shared" si="6"/>
        <v>0.45297372060857538</v>
      </c>
      <c r="H146">
        <f t="shared" si="7"/>
        <v>0.66009816636700003</v>
      </c>
      <c r="I146">
        <f t="shared" si="8"/>
        <v>0.50088234913900898</v>
      </c>
      <c r="J146" t="s">
        <v>790</v>
      </c>
      <c r="K146" t="s">
        <v>1387</v>
      </c>
    </row>
    <row r="147" spans="1:11" x14ac:dyDescent="0.3">
      <c r="A147" t="s">
        <v>106</v>
      </c>
      <c r="B147" t="str">
        <f>IF(Calculator!$B$1="NL",Data!K147,Data!J147)</f>
        <v>CITE MODERNE_21003A11-</v>
      </c>
      <c r="C147">
        <v>230</v>
      </c>
      <c r="D147">
        <v>152</v>
      </c>
      <c r="E147">
        <v>38.391899129999999</v>
      </c>
      <c r="F147">
        <v>0.64864864864864868</v>
      </c>
      <c r="G147">
        <f t="shared" si="6"/>
        <v>0.66086956521739126</v>
      </c>
      <c r="H147">
        <f t="shared" si="7"/>
        <v>0.63281236555300002</v>
      </c>
      <c r="I147">
        <f t="shared" si="8"/>
        <v>0.58215686884667606</v>
      </c>
      <c r="J147" t="s">
        <v>791</v>
      </c>
      <c r="K147" t="s">
        <v>1388</v>
      </c>
    </row>
    <row r="148" spans="1:11" x14ac:dyDescent="0.3">
      <c r="A148" t="s">
        <v>508</v>
      </c>
      <c r="B148" t="str">
        <f>IF(Calculator!$B$1="NL",Data!K148,Data!J148)</f>
        <v>CITE-JARDIN_21010A13-</v>
      </c>
      <c r="C148">
        <v>1995</v>
      </c>
      <c r="D148">
        <v>1361</v>
      </c>
      <c r="E148">
        <v>40.202989150000001</v>
      </c>
      <c r="F148">
        <v>0.70410958904109588</v>
      </c>
      <c r="G148">
        <f t="shared" si="6"/>
        <v>0.68220551378446115</v>
      </c>
      <c r="H148">
        <f t="shared" si="7"/>
        <v>0.68370399511500013</v>
      </c>
      <c r="I148">
        <f t="shared" si="8"/>
        <v>0.61465927900475759</v>
      </c>
      <c r="J148" t="s">
        <v>792</v>
      </c>
      <c r="K148" t="s">
        <v>1389</v>
      </c>
    </row>
    <row r="149" spans="1:11" x14ac:dyDescent="0.3">
      <c r="A149" t="s">
        <v>580</v>
      </c>
      <c r="B149" t="str">
        <f>IF(Calculator!$B$1="NL",Data!K149,Data!J149)</f>
        <v>CLOS DES PEUPLIERS_21018A32-</v>
      </c>
      <c r="C149">
        <v>168</v>
      </c>
      <c r="D149">
        <v>189</v>
      </c>
      <c r="E149">
        <v>38.414852340000003</v>
      </c>
      <c r="F149">
        <v>0.65</v>
      </c>
      <c r="G149">
        <f t="shared" si="6"/>
        <v>1.125</v>
      </c>
      <c r="H149">
        <f t="shared" si="7"/>
        <v>0.63345735075400023</v>
      </c>
      <c r="I149">
        <f t="shared" si="8"/>
        <v>0.79130580783930016</v>
      </c>
      <c r="J149" t="s">
        <v>793</v>
      </c>
      <c r="K149" t="s">
        <v>1390</v>
      </c>
    </row>
    <row r="150" spans="1:11" x14ac:dyDescent="0.3">
      <c r="A150" t="s">
        <v>603</v>
      </c>
      <c r="B150" t="str">
        <f>IF(Calculator!$B$1="NL",Data!K150,Data!J150)</f>
        <v>CLOS DU SOLEIL_21019A02-</v>
      </c>
      <c r="C150">
        <v>188</v>
      </c>
      <c r="D150">
        <v>157</v>
      </c>
      <c r="E150">
        <v>36.564544239999996</v>
      </c>
      <c r="F150">
        <v>0.65363128491620115</v>
      </c>
      <c r="G150">
        <f t="shared" si="6"/>
        <v>0.83510638297872342</v>
      </c>
      <c r="H150">
        <f t="shared" si="7"/>
        <v>0.58146369314400004</v>
      </c>
      <c r="I150">
        <f t="shared" si="8"/>
        <v>0.63745653425522553</v>
      </c>
      <c r="J150" t="s">
        <v>794</v>
      </c>
      <c r="K150" t="s">
        <v>1391</v>
      </c>
    </row>
    <row r="151" spans="1:11" x14ac:dyDescent="0.3">
      <c r="A151" t="s">
        <v>107</v>
      </c>
      <c r="B151" t="str">
        <f>IF(Calculator!$B$1="NL",Data!K151,Data!J151)</f>
        <v>CLOS DU ZAVELENBERG_21003A212</v>
      </c>
      <c r="C151">
        <v>240</v>
      </c>
      <c r="D151">
        <v>185</v>
      </c>
      <c r="E151">
        <v>33.847815050000001</v>
      </c>
      <c r="F151">
        <v>0.93396226415094341</v>
      </c>
      <c r="G151">
        <f t="shared" si="6"/>
        <v>0.77083333333333337</v>
      </c>
      <c r="H151">
        <f t="shared" si="7"/>
        <v>0.50512360290500014</v>
      </c>
      <c r="I151">
        <f t="shared" si="8"/>
        <v>0.60607954471320835</v>
      </c>
      <c r="J151" t="s">
        <v>795</v>
      </c>
      <c r="K151" t="s">
        <v>1392</v>
      </c>
    </row>
    <row r="152" spans="1:11" x14ac:dyDescent="0.3">
      <c r="A152" t="s">
        <v>260</v>
      </c>
      <c r="B152" t="str">
        <f>IF(Calculator!$B$1="NL",Data!K152,Data!J152)</f>
        <v>COGHEN_21016A03-</v>
      </c>
      <c r="C152">
        <v>1412</v>
      </c>
      <c r="D152">
        <v>1055</v>
      </c>
      <c r="E152">
        <v>38.561756219999999</v>
      </c>
      <c r="F152">
        <v>0.88888888888888884</v>
      </c>
      <c r="G152">
        <f t="shared" si="6"/>
        <v>0.74716713881019825</v>
      </c>
      <c r="H152">
        <f t="shared" si="7"/>
        <v>0.6375853497820001</v>
      </c>
      <c r="I152">
        <f t="shared" si="8"/>
        <v>0.65775743208129422</v>
      </c>
      <c r="J152" t="s">
        <v>796</v>
      </c>
      <c r="K152" t="s">
        <v>796</v>
      </c>
    </row>
    <row r="153" spans="1:11" x14ac:dyDescent="0.3">
      <c r="A153" t="s">
        <v>195</v>
      </c>
      <c r="B153" t="str">
        <f>IF(Calculator!$B$1="NL",Data!K153,Data!J153)</f>
        <v>COIN DES CERISES_21004F930</v>
      </c>
      <c r="C153">
        <v>773</v>
      </c>
      <c r="D153">
        <v>307</v>
      </c>
      <c r="E153">
        <v>44.83244784</v>
      </c>
      <c r="F153">
        <v>0.86617100371747213</v>
      </c>
      <c r="G153">
        <f t="shared" si="6"/>
        <v>0.39715394566623546</v>
      </c>
      <c r="H153">
        <f t="shared" si="7"/>
        <v>0.81379178430400012</v>
      </c>
      <c r="I153">
        <f t="shared" si="8"/>
        <v>0.5751992217358618</v>
      </c>
      <c r="J153" t="s">
        <v>797</v>
      </c>
      <c r="K153" t="s">
        <v>1393</v>
      </c>
    </row>
    <row r="154" spans="1:11" x14ac:dyDescent="0.3">
      <c r="A154" t="s">
        <v>304</v>
      </c>
      <c r="B154" t="str">
        <f>IF(Calculator!$B$1="NL",Data!K154,Data!J154)</f>
        <v>COIN DU BALAI_21017A01-</v>
      </c>
      <c r="C154">
        <v>557</v>
      </c>
      <c r="D154">
        <v>467</v>
      </c>
      <c r="E154">
        <v>57.344331879999999</v>
      </c>
      <c r="F154">
        <v>0.80861244019138756</v>
      </c>
      <c r="G154">
        <f t="shared" si="6"/>
        <v>0.83842010771992814</v>
      </c>
      <c r="H154">
        <f t="shared" si="7"/>
        <v>1.165375725828</v>
      </c>
      <c r="I154">
        <f t="shared" si="8"/>
        <v>0.90170812509656773</v>
      </c>
      <c r="J154" t="s">
        <v>798</v>
      </c>
      <c r="K154" t="s">
        <v>1394</v>
      </c>
    </row>
    <row r="155" spans="1:11" x14ac:dyDescent="0.3">
      <c r="A155" t="s">
        <v>513</v>
      </c>
      <c r="B155" t="str">
        <f>IF(Calculator!$B$1="NL",Data!K155,Data!J155)</f>
        <v>COLIGNON (PLACE)_21015A00-</v>
      </c>
      <c r="C155">
        <v>2721</v>
      </c>
      <c r="D155">
        <v>1314</v>
      </c>
      <c r="E155">
        <v>32.099909949999997</v>
      </c>
      <c r="F155">
        <v>0.92845659163987138</v>
      </c>
      <c r="G155">
        <f t="shared" si="6"/>
        <v>0.48291069459757441</v>
      </c>
      <c r="H155">
        <f t="shared" si="7"/>
        <v>0.45600746959499988</v>
      </c>
      <c r="I155">
        <f t="shared" si="8"/>
        <v>0.4459861279914728</v>
      </c>
      <c r="J155" t="s">
        <v>799</v>
      </c>
      <c r="K155" t="s">
        <v>1395</v>
      </c>
    </row>
    <row r="156" spans="1:11" x14ac:dyDescent="0.3">
      <c r="A156" t="s">
        <v>631</v>
      </c>
      <c r="B156" t="str">
        <f>IF(Calculator!$B$1="NL",Data!K156,Data!J156)</f>
        <v>COLLEGE SAINT-MICHEL_21019A51-</v>
      </c>
      <c r="C156">
        <v>899</v>
      </c>
      <c r="D156">
        <v>616</v>
      </c>
      <c r="E156">
        <v>34.642929559999999</v>
      </c>
      <c r="F156">
        <v>0.6322033898305085</v>
      </c>
      <c r="G156">
        <f t="shared" si="6"/>
        <v>0.68520578420467182</v>
      </c>
      <c r="H156">
        <f t="shared" si="7"/>
        <v>0.52746632063599996</v>
      </c>
      <c r="I156">
        <f t="shared" si="8"/>
        <v>0.5457024471783023</v>
      </c>
      <c r="J156" t="s">
        <v>800</v>
      </c>
      <c r="K156" t="s">
        <v>1396</v>
      </c>
    </row>
    <row r="157" spans="1:11" x14ac:dyDescent="0.3">
      <c r="A157" t="s">
        <v>584</v>
      </c>
      <c r="B157" t="str">
        <f>IF(Calculator!$B$1="NL",Data!K157,Data!J157)</f>
        <v>COMMUNAUTES_21018A37-</v>
      </c>
      <c r="C157">
        <v>214</v>
      </c>
      <c r="D157">
        <v>153</v>
      </c>
      <c r="E157">
        <v>43.35756756</v>
      </c>
      <c r="F157">
        <v>0.625</v>
      </c>
      <c r="G157">
        <f t="shared" si="6"/>
        <v>0.71495327102803741</v>
      </c>
      <c r="H157">
        <f t="shared" si="7"/>
        <v>0.77234764843600012</v>
      </c>
      <c r="I157">
        <f t="shared" si="8"/>
        <v>0.669285413758817</v>
      </c>
      <c r="J157" t="s">
        <v>801</v>
      </c>
      <c r="K157" t="s">
        <v>1397</v>
      </c>
    </row>
    <row r="158" spans="1:11" x14ac:dyDescent="0.3">
      <c r="A158" t="s">
        <v>478</v>
      </c>
      <c r="B158" t="str">
        <f>IF(Calculator!$B$1="NL",Data!K158,Data!J158)</f>
        <v>COMMUNAUTES_21006A474</v>
      </c>
      <c r="C158">
        <v>701</v>
      </c>
      <c r="D158">
        <v>422</v>
      </c>
      <c r="E158">
        <v>37.40727322</v>
      </c>
      <c r="F158">
        <v>0.58854166666666663</v>
      </c>
      <c r="G158">
        <f t="shared" si="6"/>
        <v>0.60199714693295292</v>
      </c>
      <c r="H158">
        <f t="shared" si="7"/>
        <v>0.60514437748200001</v>
      </c>
      <c r="I158">
        <f t="shared" si="8"/>
        <v>0.54321368598672881</v>
      </c>
      <c r="J158" t="s">
        <v>802</v>
      </c>
      <c r="K158" t="s">
        <v>1398</v>
      </c>
    </row>
    <row r="159" spans="1:11" x14ac:dyDescent="0.3">
      <c r="A159" t="s">
        <v>244</v>
      </c>
      <c r="B159" t="str">
        <f>IF(Calculator!$B$1="NL",Data!K159,Data!J159)</f>
        <v>CONDOR_21012A851</v>
      </c>
      <c r="C159">
        <v>840</v>
      </c>
      <c r="D159">
        <v>541</v>
      </c>
      <c r="E159">
        <v>33.485896969999999</v>
      </c>
      <c r="F159">
        <v>0.67128027681660896</v>
      </c>
      <c r="G159">
        <f t="shared" si="6"/>
        <v>0.64404761904761909</v>
      </c>
      <c r="H159">
        <f t="shared" si="7"/>
        <v>0.49495370485699991</v>
      </c>
      <c r="I159">
        <f t="shared" si="8"/>
        <v>0.51255059575707862</v>
      </c>
      <c r="J159" t="s">
        <v>803</v>
      </c>
      <c r="K159" t="s">
        <v>803</v>
      </c>
    </row>
    <row r="160" spans="1:11" x14ac:dyDescent="0.3">
      <c r="A160" t="s">
        <v>132</v>
      </c>
      <c r="B160" t="str">
        <f>IF(Calculator!$B$1="NL",Data!K160,Data!J160)</f>
        <v>CONGRES - GARE_21004A32-</v>
      </c>
      <c r="C160">
        <v>1081</v>
      </c>
      <c r="D160">
        <v>240</v>
      </c>
      <c r="E160">
        <v>32.932104440000003</v>
      </c>
      <c r="F160">
        <v>0.32951945080091533</v>
      </c>
      <c r="G160">
        <f t="shared" si="6"/>
        <v>0.22201665124884365</v>
      </c>
      <c r="H160">
        <f t="shared" si="7"/>
        <v>0.47939213476400006</v>
      </c>
      <c r="I160">
        <f t="shared" si="8"/>
        <v>0.31563395370577968</v>
      </c>
      <c r="J160" t="s">
        <v>804</v>
      </c>
      <c r="K160" t="s">
        <v>1399</v>
      </c>
    </row>
    <row r="161" spans="1:11" x14ac:dyDescent="0.3">
      <c r="A161" t="s">
        <v>460</v>
      </c>
      <c r="B161" t="str">
        <f>IF(Calculator!$B$1="NL",Data!K161,Data!J161)</f>
        <v>CONSCIENCE_21006A101</v>
      </c>
      <c r="C161">
        <v>1984</v>
      </c>
      <c r="D161">
        <v>1153</v>
      </c>
      <c r="E161">
        <v>35.761997520000001</v>
      </c>
      <c r="F161">
        <v>0.90513833992094861</v>
      </c>
      <c r="G161">
        <f t="shared" si="6"/>
        <v>0.58114919354838712</v>
      </c>
      <c r="H161">
        <f t="shared" si="7"/>
        <v>0.55891213031200015</v>
      </c>
      <c r="I161">
        <f t="shared" si="8"/>
        <v>0.54152912883368387</v>
      </c>
      <c r="J161" t="s">
        <v>805</v>
      </c>
      <c r="K161" t="s">
        <v>805</v>
      </c>
    </row>
    <row r="162" spans="1:11" x14ac:dyDescent="0.3">
      <c r="A162" t="s">
        <v>53</v>
      </c>
      <c r="B162" t="str">
        <f>IF(Calculator!$B$1="NL",Data!K162,Data!J162)</f>
        <v>CONSEIL-NORD_21001B20-</v>
      </c>
      <c r="C162">
        <v>2202</v>
      </c>
      <c r="D162">
        <v>809</v>
      </c>
      <c r="E162">
        <v>26.395041419999998</v>
      </c>
      <c r="F162">
        <v>0.88326848249027234</v>
      </c>
      <c r="G162">
        <f t="shared" si="6"/>
        <v>0.36739327883742051</v>
      </c>
      <c r="H162">
        <f t="shared" si="7"/>
        <v>0.29570066390199995</v>
      </c>
      <c r="I162">
        <f t="shared" si="8"/>
        <v>0.3149696228012247</v>
      </c>
      <c r="J162" t="s">
        <v>806</v>
      </c>
      <c r="K162" t="s">
        <v>1400</v>
      </c>
    </row>
    <row r="163" spans="1:11" x14ac:dyDescent="0.3">
      <c r="A163" t="s">
        <v>56</v>
      </c>
      <c r="B163" t="str">
        <f>IF(Calculator!$B$1="NL",Data!K163,Data!J163)</f>
        <v>CONSEIL-SUD_21001B23-</v>
      </c>
      <c r="C163">
        <v>742</v>
      </c>
      <c r="D163">
        <v>231</v>
      </c>
      <c r="E163">
        <v>29.20253374</v>
      </c>
      <c r="F163">
        <v>0.70440251572327039</v>
      </c>
      <c r="G163">
        <f t="shared" si="6"/>
        <v>0.31132075471698112</v>
      </c>
      <c r="H163">
        <f t="shared" si="7"/>
        <v>0.37459119809399993</v>
      </c>
      <c r="I163">
        <f t="shared" si="8"/>
        <v>0.30866037876494146</v>
      </c>
      <c r="J163" t="s">
        <v>807</v>
      </c>
      <c r="K163" t="s">
        <v>1401</v>
      </c>
    </row>
    <row r="164" spans="1:11" x14ac:dyDescent="0.3">
      <c r="A164" t="s">
        <v>533</v>
      </c>
      <c r="B164" t="str">
        <f>IF(Calculator!$B$1="NL",Data!K164,Data!J164)</f>
        <v>CONSOLATION (RUE DE LA)_21015A32-</v>
      </c>
      <c r="C164">
        <v>1247</v>
      </c>
      <c r="D164">
        <v>700</v>
      </c>
      <c r="E164">
        <v>35.375127020000001</v>
      </c>
      <c r="F164">
        <v>0.91639344262295086</v>
      </c>
      <c r="G164">
        <f t="shared" si="6"/>
        <v>0.5613472333600642</v>
      </c>
      <c r="H164">
        <f t="shared" si="7"/>
        <v>0.54804106926199991</v>
      </c>
      <c r="I164">
        <f t="shared" si="8"/>
        <v>0.52695944374548043</v>
      </c>
      <c r="J164" t="s">
        <v>808</v>
      </c>
      <c r="K164" t="s">
        <v>1402</v>
      </c>
    </row>
    <row r="165" spans="1:11" x14ac:dyDescent="0.3">
      <c r="A165" t="s">
        <v>593</v>
      </c>
      <c r="B165" t="str">
        <f>IF(Calculator!$B$1="NL",Data!K165,Data!J165)</f>
        <v>CONSTELLATIONS_21018A63-</v>
      </c>
      <c r="C165">
        <v>813</v>
      </c>
      <c r="D165">
        <v>695</v>
      </c>
      <c r="E165">
        <v>41.014265620000003</v>
      </c>
      <c r="F165">
        <v>0.59893048128342241</v>
      </c>
      <c r="G165">
        <f t="shared" si="6"/>
        <v>0.85485854858548582</v>
      </c>
      <c r="H165">
        <f t="shared" si="7"/>
        <v>0.70650086392200007</v>
      </c>
      <c r="I165">
        <f t="shared" si="8"/>
        <v>0.70261173562836865</v>
      </c>
      <c r="J165" t="s">
        <v>809</v>
      </c>
      <c r="K165" t="s">
        <v>1403</v>
      </c>
    </row>
    <row r="166" spans="1:11" x14ac:dyDescent="0.3">
      <c r="A166" t="s">
        <v>628</v>
      </c>
      <c r="B166" t="str">
        <f>IF(Calculator!$B$1="NL",Data!K166,Data!J166)</f>
        <v>CORNICHE VERTE_21019A43-</v>
      </c>
      <c r="C166">
        <v>204</v>
      </c>
      <c r="D166">
        <v>275</v>
      </c>
      <c r="E166">
        <v>54.807599590000002</v>
      </c>
      <c r="F166">
        <v>0.17923497267759561</v>
      </c>
      <c r="G166">
        <f t="shared" si="6"/>
        <v>1.3480392156862746</v>
      </c>
      <c r="H166">
        <f t="shared" si="7"/>
        <v>1.0940935484790002</v>
      </c>
      <c r="I166">
        <f t="shared" si="8"/>
        <v>1.0989597438743739</v>
      </c>
      <c r="J166" t="s">
        <v>810</v>
      </c>
      <c r="K166" t="s">
        <v>1404</v>
      </c>
    </row>
    <row r="167" spans="1:11" x14ac:dyDescent="0.3">
      <c r="A167" t="s">
        <v>486</v>
      </c>
      <c r="B167" t="str">
        <f>IF(Calculator!$B$1="NL",Data!K167,Data!J167)</f>
        <v>COURS ST-MICHEL_21005A082</v>
      </c>
      <c r="C167">
        <v>142</v>
      </c>
      <c r="D167">
        <v>83</v>
      </c>
      <c r="E167">
        <v>27.619142660000001</v>
      </c>
      <c r="F167">
        <v>1</v>
      </c>
      <c r="G167">
        <f t="shared" si="6"/>
        <v>0.58450704225352113</v>
      </c>
      <c r="H167">
        <f t="shared" si="7"/>
        <v>0.33009790874600003</v>
      </c>
      <c r="I167">
        <f t="shared" si="8"/>
        <v>0.43443735172477249</v>
      </c>
      <c r="J167" t="s">
        <v>811</v>
      </c>
      <c r="K167" t="s">
        <v>1405</v>
      </c>
    </row>
    <row r="168" spans="1:11" x14ac:dyDescent="0.3">
      <c r="A168" t="s">
        <v>368</v>
      </c>
      <c r="B168" t="str">
        <f>IF(Calculator!$B$1="NL",Data!K168,Data!J168)</f>
        <v>CRICKX (RUE)_21013A422</v>
      </c>
      <c r="C168">
        <v>1353</v>
      </c>
      <c r="D168">
        <v>380</v>
      </c>
      <c r="E168">
        <v>35.419270920000002</v>
      </c>
      <c r="F168">
        <v>0.92722371967654982</v>
      </c>
      <c r="G168">
        <f t="shared" si="6"/>
        <v>0.28085735402808576</v>
      </c>
      <c r="H168">
        <f t="shared" si="7"/>
        <v>0.54928151285200011</v>
      </c>
      <c r="I168">
        <f t="shared" si="8"/>
        <v>0.39431596176804079</v>
      </c>
      <c r="J168" t="s">
        <v>812</v>
      </c>
      <c r="K168" t="s">
        <v>1406</v>
      </c>
    </row>
    <row r="169" spans="1:11" x14ac:dyDescent="0.3">
      <c r="A169" t="s">
        <v>48</v>
      </c>
      <c r="B169" t="str">
        <f>IF(Calculator!$B$1="NL",Data!K169,Data!J169)</f>
        <v>CROCUS_21001A941</v>
      </c>
      <c r="C169">
        <v>940</v>
      </c>
      <c r="D169">
        <v>641</v>
      </c>
      <c r="E169">
        <v>39.71350073</v>
      </c>
      <c r="F169">
        <v>1.067137809187279</v>
      </c>
      <c r="G169">
        <f t="shared" si="6"/>
        <v>0.68191489361702129</v>
      </c>
      <c r="H169">
        <f t="shared" si="7"/>
        <v>0.66994937051299996</v>
      </c>
      <c r="I169">
        <f t="shared" si="8"/>
        <v>0.67593213206501068</v>
      </c>
      <c r="J169" t="s">
        <v>813</v>
      </c>
      <c r="K169" t="s">
        <v>1407</v>
      </c>
    </row>
    <row r="170" spans="1:11" x14ac:dyDescent="0.3">
      <c r="A170" t="s">
        <v>193</v>
      </c>
      <c r="B170" t="str">
        <f>IF(Calculator!$B$1="NL",Data!K170,Data!J170)</f>
        <v>CROIX DE GUERRE (AVENUE DES)_21004F91-</v>
      </c>
      <c r="C170">
        <v>1205</v>
      </c>
      <c r="D170">
        <v>870</v>
      </c>
      <c r="E170">
        <v>42.207871220000001</v>
      </c>
      <c r="F170">
        <v>0.74509803921568629</v>
      </c>
      <c r="G170">
        <f t="shared" si="6"/>
        <v>0.72199170124481327</v>
      </c>
      <c r="H170">
        <f t="shared" si="7"/>
        <v>0.74004118128200003</v>
      </c>
      <c r="I170">
        <f t="shared" si="8"/>
        <v>0.65791479713706591</v>
      </c>
      <c r="J170" t="s">
        <v>814</v>
      </c>
      <c r="K170" t="s">
        <v>1408</v>
      </c>
    </row>
    <row r="171" spans="1:11" x14ac:dyDescent="0.3">
      <c r="A171" t="s">
        <v>420</v>
      </c>
      <c r="B171" t="str">
        <f>IF(Calculator!$B$1="NL",Data!K171,Data!J171)</f>
        <v>CURE D'ARS_21007A01-</v>
      </c>
      <c r="C171">
        <v>603</v>
      </c>
      <c r="D171">
        <v>377</v>
      </c>
      <c r="E171">
        <v>44.983464009999999</v>
      </c>
      <c r="F171">
        <v>0.60576923076923073</v>
      </c>
      <c r="G171">
        <f t="shared" si="6"/>
        <v>0.62520729684908793</v>
      </c>
      <c r="H171">
        <f t="shared" si="7"/>
        <v>0.81803533868099998</v>
      </c>
      <c r="I171">
        <f t="shared" si="8"/>
        <v>0.64945918598853958</v>
      </c>
      <c r="J171" t="s">
        <v>815</v>
      </c>
      <c r="K171" t="s">
        <v>1409</v>
      </c>
    </row>
    <row r="172" spans="1:11" x14ac:dyDescent="0.3">
      <c r="A172" t="s">
        <v>547</v>
      </c>
      <c r="B172" t="str">
        <f>IF(Calculator!$B$1="NL",Data!K172,Data!J172)</f>
        <v>DAILLY (PLACE)_21015A53-</v>
      </c>
      <c r="C172">
        <v>1584</v>
      </c>
      <c r="D172">
        <v>652</v>
      </c>
      <c r="E172">
        <v>28.30026728</v>
      </c>
      <c r="F172">
        <v>0.78478964401294493</v>
      </c>
      <c r="G172">
        <f t="shared" si="6"/>
        <v>0.4116161616161616</v>
      </c>
      <c r="H172">
        <f t="shared" si="7"/>
        <v>0.34923751056799995</v>
      </c>
      <c r="I172">
        <f t="shared" si="8"/>
        <v>0.34238415248287268</v>
      </c>
      <c r="J172" t="s">
        <v>816</v>
      </c>
      <c r="K172" t="s">
        <v>1410</v>
      </c>
    </row>
    <row r="173" spans="1:11" x14ac:dyDescent="0.3">
      <c r="A173" t="s">
        <v>365</v>
      </c>
      <c r="B173" t="str">
        <f>IF(Calculator!$B$1="NL",Data!K173,Data!J173)</f>
        <v>DANEMARK (RUE DE)_21013A252</v>
      </c>
      <c r="C173">
        <v>854</v>
      </c>
      <c r="D173">
        <v>339</v>
      </c>
      <c r="E173">
        <v>30.512945770000002</v>
      </c>
      <c r="F173">
        <v>0.94841269841269837</v>
      </c>
      <c r="G173">
        <f t="shared" si="6"/>
        <v>0.39695550351288056</v>
      </c>
      <c r="H173">
        <f t="shared" si="7"/>
        <v>0.41141377613700009</v>
      </c>
      <c r="I173">
        <f t="shared" si="8"/>
        <v>0.38397540783369333</v>
      </c>
      <c r="J173" t="s">
        <v>817</v>
      </c>
      <c r="K173" t="s">
        <v>1411</v>
      </c>
    </row>
    <row r="174" spans="1:11" x14ac:dyDescent="0.3">
      <c r="A174" t="s">
        <v>245</v>
      </c>
      <c r="B174" t="str">
        <f>IF(Calculator!$B$1="NL",Data!K174,Data!J174)</f>
        <v>DARING_21012A882</v>
      </c>
      <c r="C174">
        <v>228</v>
      </c>
      <c r="D174">
        <v>147</v>
      </c>
      <c r="E174">
        <v>32.920582959999997</v>
      </c>
      <c r="F174">
        <v>0.67</v>
      </c>
      <c r="G174">
        <f t="shared" si="6"/>
        <v>0.64473684210526316</v>
      </c>
      <c r="H174">
        <f t="shared" si="7"/>
        <v>0.47906838117599987</v>
      </c>
      <c r="I174">
        <f t="shared" si="8"/>
        <v>0.50571235047656837</v>
      </c>
      <c r="J174" t="s">
        <v>818</v>
      </c>
      <c r="K174" t="s">
        <v>818</v>
      </c>
    </row>
    <row r="175" spans="1:11" x14ac:dyDescent="0.3">
      <c r="A175" t="s">
        <v>575</v>
      </c>
      <c r="B175" t="str">
        <f>IF(Calculator!$B$1="NL",Data!K175,Data!J175)</f>
        <v>DE BROQUEVILLE (AVENUE)-NORD_21018A21-</v>
      </c>
      <c r="C175">
        <v>1691</v>
      </c>
      <c r="D175">
        <v>985</v>
      </c>
      <c r="E175">
        <v>31.03531869</v>
      </c>
      <c r="F175">
        <v>0.92901234567901236</v>
      </c>
      <c r="G175">
        <f t="shared" si="6"/>
        <v>0.58249556475458308</v>
      </c>
      <c r="H175">
        <f t="shared" si="7"/>
        <v>0.42609245518900002</v>
      </c>
      <c r="I175">
        <f t="shared" si="8"/>
        <v>0.47907930947320193</v>
      </c>
      <c r="J175" t="s">
        <v>819</v>
      </c>
      <c r="K175" t="s">
        <v>1412</v>
      </c>
    </row>
    <row r="176" spans="1:11" x14ac:dyDescent="0.3">
      <c r="A176" t="s">
        <v>576</v>
      </c>
      <c r="B176" t="str">
        <f>IF(Calculator!$B$1="NL",Data!K176,Data!J176)</f>
        <v>DE BROQUEVILLE (AVENUE)-SUD_21018A22-</v>
      </c>
      <c r="C176">
        <v>885</v>
      </c>
      <c r="D176">
        <v>582</v>
      </c>
      <c r="E176">
        <v>29.38811153</v>
      </c>
      <c r="F176">
        <v>0.94070080862533689</v>
      </c>
      <c r="G176">
        <f t="shared" si="6"/>
        <v>0.65762711864406775</v>
      </c>
      <c r="H176">
        <f t="shared" si="7"/>
        <v>0.37980593399299994</v>
      </c>
      <c r="I176">
        <f t="shared" si="8"/>
        <v>0.4927807000026071</v>
      </c>
      <c r="J176" t="s">
        <v>820</v>
      </c>
      <c r="K176" t="s">
        <v>1413</v>
      </c>
    </row>
    <row r="177" spans="1:11" x14ac:dyDescent="0.3">
      <c r="A177" t="s">
        <v>340</v>
      </c>
      <c r="B177" t="str">
        <f>IF(Calculator!$B$1="NL",Data!K177,Data!J177)</f>
        <v>DE MESMAEKER_21008A23-</v>
      </c>
      <c r="C177">
        <v>131</v>
      </c>
      <c r="D177">
        <v>87</v>
      </c>
      <c r="E177">
        <v>41.102012199999997</v>
      </c>
      <c r="F177">
        <v>0.53921568627450978</v>
      </c>
      <c r="G177">
        <f t="shared" si="6"/>
        <v>0.66412213740458015</v>
      </c>
      <c r="H177">
        <f t="shared" si="7"/>
        <v>0.70896654282000005</v>
      </c>
      <c r="I177">
        <f t="shared" si="8"/>
        <v>0.6178899061010612</v>
      </c>
      <c r="J177" t="s">
        <v>821</v>
      </c>
      <c r="K177" t="s">
        <v>821</v>
      </c>
    </row>
    <row r="178" spans="1:11" x14ac:dyDescent="0.3">
      <c r="A178" t="s">
        <v>180</v>
      </c>
      <c r="B178" t="str">
        <f>IF(Calculator!$B$1="NL",Data!K178,Data!J178)</f>
        <v>DE MEYSSE (AVENUE)_21004E233</v>
      </c>
      <c r="C178">
        <v>279</v>
      </c>
      <c r="D178">
        <v>272</v>
      </c>
      <c r="E178">
        <v>43.696864759999997</v>
      </c>
      <c r="F178">
        <v>0.24459459459459459</v>
      </c>
      <c r="G178">
        <f t="shared" si="6"/>
        <v>0.97491039426523296</v>
      </c>
      <c r="H178">
        <f t="shared" si="7"/>
        <v>0.78188189975599998</v>
      </c>
      <c r="I178">
        <f t="shared" si="8"/>
        <v>0.79055653230955492</v>
      </c>
      <c r="J178" t="s">
        <v>1750</v>
      </c>
      <c r="K178" t="s">
        <v>1751</v>
      </c>
    </row>
    <row r="179" spans="1:11" x14ac:dyDescent="0.3">
      <c r="A179" t="s">
        <v>103</v>
      </c>
      <c r="B179" t="str">
        <f>IF(Calculator!$B$1="NL",Data!K179,Data!J179)</f>
        <v>DE SELLIERS DE MORANVILLE_21003A05-</v>
      </c>
      <c r="C179">
        <v>742</v>
      </c>
      <c r="D179">
        <v>580</v>
      </c>
      <c r="E179">
        <v>38.575314570000003</v>
      </c>
      <c r="F179">
        <v>0.82572614107883813</v>
      </c>
      <c r="G179">
        <f t="shared" si="6"/>
        <v>0.78167115902964956</v>
      </c>
      <c r="H179">
        <f t="shared" si="7"/>
        <v>0.63796633941700009</v>
      </c>
      <c r="I179">
        <f t="shared" si="8"/>
        <v>0.63883687430099234</v>
      </c>
      <c r="J179" t="s">
        <v>822</v>
      </c>
      <c r="K179" t="s">
        <v>822</v>
      </c>
    </row>
    <row r="180" spans="1:11" x14ac:dyDescent="0.3">
      <c r="A180" t="s">
        <v>410</v>
      </c>
      <c r="B180" t="str">
        <f>IF(Calculator!$B$1="NL",Data!K180,Data!J180)</f>
        <v>DEFACQZ_21009A72-</v>
      </c>
      <c r="C180">
        <v>1198</v>
      </c>
      <c r="D180">
        <v>419</v>
      </c>
      <c r="E180">
        <v>34.443899770000002</v>
      </c>
      <c r="F180">
        <v>0.710594315245478</v>
      </c>
      <c r="G180">
        <f t="shared" si="6"/>
        <v>0.34974958263772954</v>
      </c>
      <c r="H180">
        <f t="shared" si="7"/>
        <v>0.52187358353700009</v>
      </c>
      <c r="I180">
        <f t="shared" si="8"/>
        <v>0.39223042477862829</v>
      </c>
      <c r="J180" t="s">
        <v>823</v>
      </c>
      <c r="K180" t="s">
        <v>823</v>
      </c>
    </row>
    <row r="181" spans="1:11" x14ac:dyDescent="0.3">
      <c r="A181" t="s">
        <v>230</v>
      </c>
      <c r="B181" t="str">
        <f>IF(Calculator!$B$1="NL",Data!K181,Data!J181)</f>
        <v>DELHAIZE_21012A54-</v>
      </c>
      <c r="C181">
        <v>1363</v>
      </c>
      <c r="D181">
        <v>698</v>
      </c>
      <c r="E181">
        <v>31.212979789999999</v>
      </c>
      <c r="F181">
        <v>0.77744360902255638</v>
      </c>
      <c r="G181">
        <f t="shared" si="6"/>
        <v>0.51210564930300806</v>
      </c>
      <c r="H181">
        <f t="shared" si="7"/>
        <v>0.43108473209899995</v>
      </c>
      <c r="I181">
        <f t="shared" si="8"/>
        <v>0.42443567163090357</v>
      </c>
      <c r="J181" t="s">
        <v>824</v>
      </c>
      <c r="K181" t="s">
        <v>824</v>
      </c>
    </row>
    <row r="182" spans="1:11" x14ac:dyDescent="0.3">
      <c r="A182" t="s">
        <v>551</v>
      </c>
      <c r="B182" t="str">
        <f>IF(Calculator!$B$1="NL",Data!K182,Data!J182)</f>
        <v>DESCHANEL P. (AVENUE)_21015A63-</v>
      </c>
      <c r="C182">
        <v>777</v>
      </c>
      <c r="D182">
        <v>452</v>
      </c>
      <c r="E182">
        <v>33.2844275</v>
      </c>
      <c r="F182">
        <v>0.85389610389610393</v>
      </c>
      <c r="G182">
        <f t="shared" si="6"/>
        <v>0.58172458172458175</v>
      </c>
      <c r="H182">
        <f t="shared" si="7"/>
        <v>0.48929241274999996</v>
      </c>
      <c r="I182">
        <f t="shared" si="8"/>
        <v>0.50873307237542631</v>
      </c>
      <c r="J182" t="s">
        <v>825</v>
      </c>
      <c r="K182" t="s">
        <v>1414</v>
      </c>
    </row>
    <row r="183" spans="1:11" x14ac:dyDescent="0.3">
      <c r="A183" t="s">
        <v>358</v>
      </c>
      <c r="B183" t="str">
        <f>IF(Calculator!$B$1="NL",Data!K183,Data!J183)</f>
        <v>DETHY (RUE)_21013A13-</v>
      </c>
      <c r="C183">
        <v>1011</v>
      </c>
      <c r="D183">
        <v>328</v>
      </c>
      <c r="E183">
        <v>32.379632729999997</v>
      </c>
      <c r="F183">
        <v>0.95205479452054798</v>
      </c>
      <c r="G183">
        <f t="shared" si="6"/>
        <v>0.32443125618199803</v>
      </c>
      <c r="H183">
        <f t="shared" si="7"/>
        <v>0.46386767971299997</v>
      </c>
      <c r="I183">
        <f t="shared" si="8"/>
        <v>0.37444199455012406</v>
      </c>
      <c r="J183" t="s">
        <v>826</v>
      </c>
      <c r="K183" t="s">
        <v>1415</v>
      </c>
    </row>
    <row r="184" spans="1:11" x14ac:dyDescent="0.3">
      <c r="A184" t="s">
        <v>149</v>
      </c>
      <c r="B184" t="str">
        <f>IF(Calculator!$B$1="NL",Data!K184,Data!J184)</f>
        <v>DEUX EGLISES (RUE DES)_21004B411</v>
      </c>
      <c r="C184">
        <v>1137</v>
      </c>
      <c r="D184">
        <v>310</v>
      </c>
      <c r="E184">
        <v>31.25014792</v>
      </c>
      <c r="F184">
        <v>0.77322404371584696</v>
      </c>
      <c r="G184">
        <f t="shared" si="6"/>
        <v>0.27264731750219878</v>
      </c>
      <c r="H184">
        <f t="shared" si="7"/>
        <v>0.43212915655199996</v>
      </c>
      <c r="I184">
        <f t="shared" si="8"/>
        <v>0.31714941332438945</v>
      </c>
      <c r="J184" t="s">
        <v>827</v>
      </c>
      <c r="K184" t="s">
        <v>1416</v>
      </c>
    </row>
    <row r="185" spans="1:11" x14ac:dyDescent="0.3">
      <c r="A185" t="s">
        <v>62</v>
      </c>
      <c r="B185" t="str">
        <f>IF(Calculator!$B$1="NL",Data!K185,Data!J185)</f>
        <v>DEUX GARES_21001B372</v>
      </c>
      <c r="C185">
        <v>142</v>
      </c>
      <c r="D185">
        <v>118</v>
      </c>
      <c r="E185">
        <v>39.508559720000001</v>
      </c>
      <c r="F185">
        <v>0.40229885057471271</v>
      </c>
      <c r="G185">
        <f t="shared" si="6"/>
        <v>0.83098591549295775</v>
      </c>
      <c r="H185">
        <f t="shared" si="7"/>
        <v>0.66419052813199997</v>
      </c>
      <c r="I185">
        <f t="shared" si="8"/>
        <v>0.67282939963123101</v>
      </c>
      <c r="J185" t="s">
        <v>828</v>
      </c>
      <c r="K185" t="s">
        <v>1417</v>
      </c>
    </row>
    <row r="186" spans="1:11" x14ac:dyDescent="0.3">
      <c r="A186" t="s">
        <v>594</v>
      </c>
      <c r="B186" t="str">
        <f>IF(Calculator!$B$1="NL",Data!K186,Data!J186)</f>
        <v>DEUX MAISONS_21018A643</v>
      </c>
      <c r="C186">
        <v>914</v>
      </c>
      <c r="D186">
        <v>501</v>
      </c>
      <c r="E186">
        <v>39.248435540000003</v>
      </c>
      <c r="F186">
        <v>0.65833333333333333</v>
      </c>
      <c r="G186">
        <f t="shared" si="6"/>
        <v>0.5481400437636762</v>
      </c>
      <c r="H186">
        <f t="shared" si="7"/>
        <v>0.65688103867400005</v>
      </c>
      <c r="I186">
        <f t="shared" si="8"/>
        <v>0.54225948709695426</v>
      </c>
      <c r="J186" t="s">
        <v>829</v>
      </c>
      <c r="K186" t="s">
        <v>1418</v>
      </c>
    </row>
    <row r="187" spans="1:11" x14ac:dyDescent="0.3">
      <c r="A187" t="s">
        <v>258</v>
      </c>
      <c r="B187" t="str">
        <f>IF(Calculator!$B$1="NL",Data!K187,Data!J187)</f>
        <v>DIEWEG_21016A01-</v>
      </c>
      <c r="C187">
        <v>1578</v>
      </c>
      <c r="D187">
        <v>1576</v>
      </c>
      <c r="E187">
        <v>49.067774810000003</v>
      </c>
      <c r="F187">
        <v>0.76234213547646379</v>
      </c>
      <c r="G187">
        <f t="shared" si="6"/>
        <v>0.99873257287705952</v>
      </c>
      <c r="H187">
        <f t="shared" si="7"/>
        <v>0.93280447216100004</v>
      </c>
      <c r="I187">
        <f t="shared" si="8"/>
        <v>0.86919167026712685</v>
      </c>
      <c r="J187" t="s">
        <v>830</v>
      </c>
      <c r="K187" t="s">
        <v>830</v>
      </c>
    </row>
    <row r="188" spans="1:11" x14ac:dyDescent="0.3">
      <c r="A188" t="s">
        <v>186</v>
      </c>
      <c r="B188" t="str">
        <f>IF(Calculator!$B$1="NL",Data!K188,Data!J188)</f>
        <v>DISQUE (RUE DU)_21004E81-</v>
      </c>
      <c r="C188">
        <v>589</v>
      </c>
      <c r="D188">
        <v>320</v>
      </c>
      <c r="E188">
        <v>32.992611170000004</v>
      </c>
      <c r="F188">
        <v>0.72340425531914898</v>
      </c>
      <c r="G188">
        <f t="shared" si="6"/>
        <v>0.54329371816638372</v>
      </c>
      <c r="H188">
        <f t="shared" si="7"/>
        <v>0.48109237387700005</v>
      </c>
      <c r="I188">
        <f t="shared" si="8"/>
        <v>0.46097374141952274</v>
      </c>
      <c r="J188" t="s">
        <v>831</v>
      </c>
      <c r="K188" t="s">
        <v>1419</v>
      </c>
    </row>
    <row r="189" spans="1:11" x14ac:dyDescent="0.3">
      <c r="A189" t="s">
        <v>185</v>
      </c>
      <c r="B189" t="str">
        <f>IF(Calculator!$B$1="NL",Data!K189,Data!J189)</f>
        <v>DIVIN JESUS_21004E800</v>
      </c>
      <c r="C189">
        <v>518</v>
      </c>
      <c r="D189">
        <v>341</v>
      </c>
      <c r="E189">
        <v>37.439702179999998</v>
      </c>
      <c r="F189">
        <v>0.63695652173913042</v>
      </c>
      <c r="G189">
        <f t="shared" si="6"/>
        <v>0.65830115830115832</v>
      </c>
      <c r="H189">
        <f t="shared" si="7"/>
        <v>0.60605563125799988</v>
      </c>
      <c r="I189">
        <f t="shared" si="8"/>
        <v>0.56896055530162126</v>
      </c>
      <c r="J189" t="s">
        <v>832</v>
      </c>
      <c r="K189" t="s">
        <v>1420</v>
      </c>
    </row>
    <row r="190" spans="1:11" x14ac:dyDescent="0.3">
      <c r="A190" t="s">
        <v>202</v>
      </c>
      <c r="B190" t="str">
        <f>IF(Calculator!$B$1="NL",Data!K190,Data!J190)</f>
        <v>DOBBELENBERG_21004G3MJ</v>
      </c>
      <c r="C190">
        <v>194</v>
      </c>
      <c r="D190">
        <v>174</v>
      </c>
      <c r="E190">
        <v>53.241584400000001</v>
      </c>
      <c r="F190">
        <v>0.29257641921397382</v>
      </c>
      <c r="G190">
        <f t="shared" si="6"/>
        <v>0.89690721649484539</v>
      </c>
      <c r="H190">
        <f t="shared" si="7"/>
        <v>1.05008852164</v>
      </c>
      <c r="I190">
        <f t="shared" si="8"/>
        <v>0.87614808216068052</v>
      </c>
      <c r="J190" t="s">
        <v>1421</v>
      </c>
      <c r="K190" t="s">
        <v>1421</v>
      </c>
    </row>
    <row r="191" spans="1:11" x14ac:dyDescent="0.3">
      <c r="A191" t="s">
        <v>26</v>
      </c>
      <c r="B191" t="str">
        <f>IF(Calculator!$B$1="NL",Data!K191,Data!J191)</f>
        <v>DOCTEUR ROUX_21001A441</v>
      </c>
      <c r="C191">
        <v>996</v>
      </c>
      <c r="D191">
        <v>566</v>
      </c>
      <c r="E191">
        <v>34.561962450000003</v>
      </c>
      <c r="F191">
        <v>0.96305418719211822</v>
      </c>
      <c r="G191">
        <f t="shared" si="6"/>
        <v>0.56827309236947787</v>
      </c>
      <c r="H191">
        <f t="shared" si="7"/>
        <v>0.52519114484500018</v>
      </c>
      <c r="I191">
        <f t="shared" si="8"/>
        <v>0.519395512676877</v>
      </c>
      <c r="J191" t="s">
        <v>833</v>
      </c>
      <c r="K191" t="s">
        <v>1422</v>
      </c>
    </row>
    <row r="192" spans="1:11" x14ac:dyDescent="0.3">
      <c r="A192" t="s">
        <v>606</v>
      </c>
      <c r="B192" t="str">
        <f>IF(Calculator!$B$1="NL",Data!K192,Data!J192)</f>
        <v>DON BOSCO_21019A052</v>
      </c>
      <c r="C192">
        <v>486</v>
      </c>
      <c r="D192">
        <v>389</v>
      </c>
      <c r="E192">
        <v>43.700811590000001</v>
      </c>
      <c r="F192">
        <v>0.73949579831932777</v>
      </c>
      <c r="G192">
        <f t="shared" si="6"/>
        <v>0.80041152263374482</v>
      </c>
      <c r="H192">
        <f t="shared" si="7"/>
        <v>0.78199280567899998</v>
      </c>
      <c r="I192">
        <f t="shared" si="8"/>
        <v>0.71208194774073519</v>
      </c>
      <c r="J192" t="s">
        <v>834</v>
      </c>
      <c r="K192" t="s">
        <v>834</v>
      </c>
    </row>
    <row r="193" spans="1:11" x14ac:dyDescent="0.3">
      <c r="A193" t="s">
        <v>305</v>
      </c>
      <c r="B193" t="str">
        <f>IF(Calculator!$B$1="NL",Data!K193,Data!J193)</f>
        <v>DREVE DES EQUIPAGES_21017A021</v>
      </c>
      <c r="C193">
        <v>161</v>
      </c>
      <c r="D193">
        <v>175</v>
      </c>
      <c r="E193">
        <v>57.974946799999998</v>
      </c>
      <c r="F193">
        <v>0.63755458515283847</v>
      </c>
      <c r="G193">
        <f t="shared" si="6"/>
        <v>1.0869565217391304</v>
      </c>
      <c r="H193">
        <f t="shared" si="7"/>
        <v>1.1830960050799999</v>
      </c>
      <c r="I193">
        <f t="shared" si="8"/>
        <v>1.0215236370686087</v>
      </c>
      <c r="J193" t="s">
        <v>835</v>
      </c>
      <c r="K193" t="s">
        <v>1423</v>
      </c>
    </row>
    <row r="194" spans="1:11" x14ac:dyDescent="0.3">
      <c r="A194" t="s">
        <v>306</v>
      </c>
      <c r="B194" t="str">
        <f>IF(Calculator!$B$1="NL",Data!K194,Data!J194)</f>
        <v>DREVE DU DUC_21017A041</v>
      </c>
      <c r="C194">
        <v>393</v>
      </c>
      <c r="D194">
        <v>335</v>
      </c>
      <c r="E194">
        <v>45.792870540000003</v>
      </c>
      <c r="F194">
        <v>0.78854625550660795</v>
      </c>
      <c r="G194">
        <f t="shared" ref="G194:G257" si="9">D194/C194</f>
        <v>0.8524173027989822</v>
      </c>
      <c r="H194">
        <f t="shared" si="7"/>
        <v>0.84077966217400002</v>
      </c>
      <c r="I194">
        <f t="shared" si="8"/>
        <v>0.76193863423784203</v>
      </c>
      <c r="J194" t="s">
        <v>836</v>
      </c>
      <c r="K194" t="s">
        <v>1424</v>
      </c>
    </row>
    <row r="195" spans="1:11" x14ac:dyDescent="0.3">
      <c r="A195" t="s">
        <v>568</v>
      </c>
      <c r="B195" t="str">
        <f>IF(Calculator!$B$1="NL",Data!K195,Data!J195)</f>
        <v>DRIES_21018A05-</v>
      </c>
      <c r="C195">
        <v>559</v>
      </c>
      <c r="D195">
        <v>454</v>
      </c>
      <c r="E195">
        <v>34.334243720000003</v>
      </c>
      <c r="F195">
        <v>0.80368098159509205</v>
      </c>
      <c r="G195">
        <f t="shared" si="9"/>
        <v>0.81216457960644006</v>
      </c>
      <c r="H195">
        <f t="shared" ref="H195:H258" si="10">0.0281*E195-0.446</f>
        <v>0.51879224853200001</v>
      </c>
      <c r="I195">
        <f t="shared" ref="I195:I258" si="11">(G195+H195)/2*IF(F195&lt;85%,0.9,IF(F195&gt;100%,1,0.95))</f>
        <v>0.5989305726622981</v>
      </c>
      <c r="J195" t="s">
        <v>837</v>
      </c>
      <c r="K195" t="s">
        <v>837</v>
      </c>
    </row>
    <row r="196" spans="1:11" x14ac:dyDescent="0.3">
      <c r="A196" t="s">
        <v>315</v>
      </c>
      <c r="B196" t="str">
        <f>IF(Calculator!$B$1="NL",Data!K196,Data!J196)</f>
        <v>DRIES_21017A432</v>
      </c>
      <c r="C196">
        <v>458</v>
      </c>
      <c r="D196">
        <v>441</v>
      </c>
      <c r="E196">
        <v>41.45983588</v>
      </c>
      <c r="F196">
        <v>1.068825910931174</v>
      </c>
      <c r="G196">
        <f t="shared" si="9"/>
        <v>0.96288209606986896</v>
      </c>
      <c r="H196">
        <f t="shared" si="10"/>
        <v>0.7190213882280001</v>
      </c>
      <c r="I196">
        <f t="shared" si="11"/>
        <v>0.84095174214893453</v>
      </c>
      <c r="J196" t="s">
        <v>838</v>
      </c>
      <c r="K196" t="s">
        <v>838</v>
      </c>
    </row>
    <row r="197" spans="1:11" x14ac:dyDescent="0.3">
      <c r="A197" t="s">
        <v>470</v>
      </c>
      <c r="B197" t="str">
        <f>IF(Calculator!$B$1="NL",Data!K197,Data!J197)</f>
        <v>DU BONHEUR_21006A23-</v>
      </c>
      <c r="C197">
        <v>1509</v>
      </c>
      <c r="D197">
        <v>855</v>
      </c>
      <c r="E197">
        <v>35.526735080000002</v>
      </c>
      <c r="F197">
        <v>0.81020408163265301</v>
      </c>
      <c r="G197">
        <f t="shared" si="9"/>
        <v>0.56660039761431413</v>
      </c>
      <c r="H197">
        <f t="shared" si="10"/>
        <v>0.55230125574800004</v>
      </c>
      <c r="I197">
        <f t="shared" si="11"/>
        <v>0.50350574401304138</v>
      </c>
      <c r="J197" t="s">
        <v>839</v>
      </c>
      <c r="K197" t="s">
        <v>1425</v>
      </c>
    </row>
    <row r="198" spans="1:11" x14ac:dyDescent="0.3">
      <c r="A198" t="s">
        <v>235</v>
      </c>
      <c r="B198" t="str">
        <f>IF(Calculator!$B$1="NL",Data!K198,Data!J198)</f>
        <v>DUBRUCQ-NORD_21012A63-</v>
      </c>
      <c r="C198">
        <v>766</v>
      </c>
      <c r="D198">
        <v>373</v>
      </c>
      <c r="E198">
        <v>29.955654750000001</v>
      </c>
      <c r="F198">
        <v>0.88544152744630067</v>
      </c>
      <c r="G198">
        <f t="shared" si="9"/>
        <v>0.48694516971279372</v>
      </c>
      <c r="H198">
        <f t="shared" si="10"/>
        <v>0.39575389847500003</v>
      </c>
      <c r="I198">
        <f t="shared" si="11"/>
        <v>0.41928205738920199</v>
      </c>
      <c r="J198" t="s">
        <v>840</v>
      </c>
      <c r="K198" t="s">
        <v>1426</v>
      </c>
    </row>
    <row r="199" spans="1:11" x14ac:dyDescent="0.3">
      <c r="A199" t="s">
        <v>632</v>
      </c>
      <c r="B199" t="str">
        <f>IF(Calculator!$B$1="NL",Data!K199,Data!J199)</f>
        <v>DUC (RUE)_21019A52-</v>
      </c>
      <c r="C199">
        <v>763</v>
      </c>
      <c r="D199">
        <v>484</v>
      </c>
      <c r="E199">
        <v>31.27231853</v>
      </c>
      <c r="F199">
        <v>0.8297213622291022</v>
      </c>
      <c r="G199">
        <f t="shared" si="9"/>
        <v>0.63433813892529489</v>
      </c>
      <c r="H199">
        <f t="shared" si="10"/>
        <v>0.43275215069299994</v>
      </c>
      <c r="I199">
        <f t="shared" si="11"/>
        <v>0.48019063032823267</v>
      </c>
      <c r="J199" t="s">
        <v>841</v>
      </c>
      <c r="K199" t="s">
        <v>1427</v>
      </c>
    </row>
    <row r="200" spans="1:11" x14ac:dyDescent="0.3">
      <c r="A200" t="s">
        <v>210</v>
      </c>
      <c r="B200" t="str">
        <f>IF(Calculator!$B$1="NL",Data!K200,Data!J200)</f>
        <v>DUCHESSE DE BRABANT_21012A10-</v>
      </c>
      <c r="C200">
        <v>898</v>
      </c>
      <c r="D200">
        <v>437</v>
      </c>
      <c r="E200">
        <v>30.549551739999998</v>
      </c>
      <c r="F200">
        <v>1.080246913580247</v>
      </c>
      <c r="G200">
        <f t="shared" si="9"/>
        <v>0.48663697104677062</v>
      </c>
      <c r="H200">
        <f t="shared" si="10"/>
        <v>0.41244240389399994</v>
      </c>
      <c r="I200">
        <f t="shared" si="11"/>
        <v>0.44953968747038531</v>
      </c>
      <c r="J200" t="s">
        <v>842</v>
      </c>
      <c r="K200" t="s">
        <v>1428</v>
      </c>
    </row>
    <row r="201" spans="1:11" x14ac:dyDescent="0.3">
      <c r="A201" t="s">
        <v>552</v>
      </c>
      <c r="B201" t="str">
        <f>IF(Calculator!$B$1="NL",Data!K201,Data!J201)</f>
        <v>DUPLOYE SQUARE_21015A64-</v>
      </c>
      <c r="C201">
        <v>1237</v>
      </c>
      <c r="D201">
        <v>597</v>
      </c>
      <c r="E201">
        <v>33.359440319999997</v>
      </c>
      <c r="F201">
        <v>0.88707037643207853</v>
      </c>
      <c r="G201">
        <f t="shared" si="9"/>
        <v>0.48261924009700891</v>
      </c>
      <c r="H201">
        <f t="shared" si="10"/>
        <v>0.4914002729919999</v>
      </c>
      <c r="I201">
        <f t="shared" si="11"/>
        <v>0.46265926871727914</v>
      </c>
      <c r="J201" t="s">
        <v>843</v>
      </c>
      <c r="K201" t="s">
        <v>843</v>
      </c>
    </row>
    <row r="202" spans="1:11" x14ac:dyDescent="0.3">
      <c r="A202" t="s">
        <v>142</v>
      </c>
      <c r="B202" t="str">
        <f>IF(Calculator!$B$1="NL",Data!K202,Data!J202)</f>
        <v>E. JACQMAIN (BOULEVARD)-OUEST_21004A83-</v>
      </c>
      <c r="C202">
        <v>935</v>
      </c>
      <c r="D202">
        <v>245</v>
      </c>
      <c r="E202">
        <v>29.739657399999999</v>
      </c>
      <c r="F202">
        <v>0.56666666666666665</v>
      </c>
      <c r="G202">
        <f t="shared" si="9"/>
        <v>0.26203208556149732</v>
      </c>
      <c r="H202">
        <f t="shared" si="10"/>
        <v>0.38968437293999997</v>
      </c>
      <c r="I202">
        <f t="shared" si="11"/>
        <v>0.29327240632567381</v>
      </c>
      <c r="J202" t="s">
        <v>844</v>
      </c>
      <c r="K202" t="s">
        <v>1429</v>
      </c>
    </row>
    <row r="203" spans="1:11" x14ac:dyDescent="0.3">
      <c r="A203" t="s">
        <v>261</v>
      </c>
      <c r="B203" t="str">
        <f>IF(Calculator!$B$1="NL",Data!K203,Data!J203)</f>
        <v>ECHEVINAGE_21016A042</v>
      </c>
      <c r="C203">
        <v>233</v>
      </c>
      <c r="D203">
        <v>225</v>
      </c>
      <c r="E203">
        <v>38.075971150000001</v>
      </c>
      <c r="F203">
        <v>0.68817204301075274</v>
      </c>
      <c r="G203">
        <f t="shared" si="9"/>
        <v>0.96566523605150212</v>
      </c>
      <c r="H203">
        <f t="shared" si="10"/>
        <v>0.62393478931500002</v>
      </c>
      <c r="I203">
        <f t="shared" si="11"/>
        <v>0.71532001141492596</v>
      </c>
      <c r="J203" t="s">
        <v>845</v>
      </c>
      <c r="K203" t="s">
        <v>1430</v>
      </c>
    </row>
    <row r="204" spans="1:11" x14ac:dyDescent="0.3">
      <c r="A204" t="s">
        <v>176</v>
      </c>
      <c r="B204" t="str">
        <f>IF(Calculator!$B$1="NL",Data!K204,Data!J204)</f>
        <v>ECOLE DES CADETS_21004E14-</v>
      </c>
      <c r="C204">
        <v>1225</v>
      </c>
      <c r="D204">
        <v>730</v>
      </c>
      <c r="E204">
        <v>35.653294119999998</v>
      </c>
      <c r="F204">
        <v>0.71994884910485935</v>
      </c>
      <c r="G204">
        <f t="shared" si="9"/>
        <v>0.59591836734693882</v>
      </c>
      <c r="H204">
        <f t="shared" si="10"/>
        <v>0.5558575647720001</v>
      </c>
      <c r="I204">
        <f t="shared" si="11"/>
        <v>0.5182991694535225</v>
      </c>
      <c r="J204" t="s">
        <v>846</v>
      </c>
      <c r="K204" t="s">
        <v>1431</v>
      </c>
    </row>
    <row r="205" spans="1:11" x14ac:dyDescent="0.3">
      <c r="A205" t="s">
        <v>153</v>
      </c>
      <c r="B205" t="str">
        <f>IF(Calculator!$B$1="NL",Data!K205,Data!J205)</f>
        <v>ECOLE MILITAIRE_21004B45-</v>
      </c>
      <c r="C205">
        <v>1081</v>
      </c>
      <c r="D205">
        <v>386</v>
      </c>
      <c r="E205">
        <v>36.969007750000003</v>
      </c>
      <c r="F205">
        <v>0.622</v>
      </c>
      <c r="G205">
        <f t="shared" si="9"/>
        <v>0.35707678075855687</v>
      </c>
      <c r="H205">
        <f t="shared" si="10"/>
        <v>0.59282911777500003</v>
      </c>
      <c r="I205">
        <f t="shared" si="11"/>
        <v>0.42745765434010063</v>
      </c>
      <c r="J205" t="s">
        <v>847</v>
      </c>
      <c r="K205" t="s">
        <v>1432</v>
      </c>
    </row>
    <row r="206" spans="1:11" x14ac:dyDescent="0.3">
      <c r="A206" t="s">
        <v>464</v>
      </c>
      <c r="B206" t="str">
        <f>IF(Calculator!$B$1="NL",Data!K206,Data!J206)</f>
        <v>ED. DEKNOOP (RUE)_21006A142</v>
      </c>
      <c r="C206">
        <v>549</v>
      </c>
      <c r="D206">
        <v>293</v>
      </c>
      <c r="E206">
        <v>38.118994870000002</v>
      </c>
      <c r="F206">
        <v>0.689873417721519</v>
      </c>
      <c r="G206">
        <f t="shared" si="9"/>
        <v>0.5336976320582878</v>
      </c>
      <c r="H206">
        <f t="shared" si="10"/>
        <v>0.6251437558470001</v>
      </c>
      <c r="I206">
        <f t="shared" si="11"/>
        <v>0.52147862455737959</v>
      </c>
      <c r="J206" t="s">
        <v>848</v>
      </c>
      <c r="K206" t="s">
        <v>1433</v>
      </c>
    </row>
    <row r="207" spans="1:11" x14ac:dyDescent="0.3">
      <c r="A207" t="s">
        <v>605</v>
      </c>
      <c r="B207" t="str">
        <f>IF(Calculator!$B$1="NL",Data!K207,Data!J207)</f>
        <v>EGGERICX (RUE)_21019A04-</v>
      </c>
      <c r="C207">
        <v>537</v>
      </c>
      <c r="D207">
        <v>364</v>
      </c>
      <c r="E207">
        <v>37.771104819999998</v>
      </c>
      <c r="F207">
        <v>0.87214611872146119</v>
      </c>
      <c r="G207">
        <f t="shared" si="9"/>
        <v>0.67783985102420852</v>
      </c>
      <c r="H207">
        <f t="shared" si="10"/>
        <v>0.61536804544200008</v>
      </c>
      <c r="I207">
        <f t="shared" si="11"/>
        <v>0.61427375082144908</v>
      </c>
      <c r="J207" t="s">
        <v>849</v>
      </c>
      <c r="K207" t="s">
        <v>1434</v>
      </c>
    </row>
    <row r="208" spans="1:11" x14ac:dyDescent="0.3">
      <c r="A208" t="s">
        <v>619</v>
      </c>
      <c r="B208" t="str">
        <f>IF(Calculator!$B$1="NL",Data!K208,Data!J208)</f>
        <v>EGLANTINES (AVENUE)_21019A30-</v>
      </c>
      <c r="C208">
        <v>400</v>
      </c>
      <c r="D208">
        <v>395</v>
      </c>
      <c r="E208">
        <v>46.674314529999997</v>
      </c>
      <c r="F208">
        <v>0.59796437659033075</v>
      </c>
      <c r="G208">
        <f t="shared" si="9"/>
        <v>0.98750000000000004</v>
      </c>
      <c r="H208">
        <f t="shared" si="10"/>
        <v>0.86554823829299998</v>
      </c>
      <c r="I208">
        <f t="shared" si="11"/>
        <v>0.83387170723185</v>
      </c>
      <c r="J208" t="s">
        <v>850</v>
      </c>
      <c r="K208" t="s">
        <v>1435</v>
      </c>
    </row>
    <row r="209" spans="1:11" x14ac:dyDescent="0.3">
      <c r="A209" t="s">
        <v>402</v>
      </c>
      <c r="B209" t="str">
        <f>IF(Calculator!$B$1="NL",Data!K209,Data!J209)</f>
        <v>EGLISE ANGLICANE_21009A542</v>
      </c>
      <c r="C209">
        <v>466</v>
      </c>
      <c r="D209">
        <v>137</v>
      </c>
      <c r="E209">
        <v>29.91524059</v>
      </c>
      <c r="F209">
        <v>0.54054054054054057</v>
      </c>
      <c r="G209">
        <f t="shared" si="9"/>
        <v>0.29399141630901288</v>
      </c>
      <c r="H209">
        <f t="shared" si="10"/>
        <v>0.39461826057900001</v>
      </c>
      <c r="I209">
        <f t="shared" si="11"/>
        <v>0.30987435459960583</v>
      </c>
      <c r="J209" t="s">
        <v>851</v>
      </c>
      <c r="K209" t="s">
        <v>1436</v>
      </c>
    </row>
    <row r="210" spans="1:11" x14ac:dyDescent="0.3">
      <c r="A210" t="s">
        <v>242</v>
      </c>
      <c r="B210" t="str">
        <f>IF(Calculator!$B$1="NL",Data!K210,Data!J210)</f>
        <v>ELBERS_21012A833</v>
      </c>
      <c r="C210">
        <v>129</v>
      </c>
      <c r="D210">
        <v>89</v>
      </c>
      <c r="E210">
        <v>38.022788830000003</v>
      </c>
      <c r="F210">
        <v>0.42690058479532161</v>
      </c>
      <c r="G210">
        <f t="shared" si="9"/>
        <v>0.68992248062015504</v>
      </c>
      <c r="H210">
        <f t="shared" si="10"/>
        <v>0.62244036612300024</v>
      </c>
      <c r="I210">
        <f t="shared" si="11"/>
        <v>0.59056328103441991</v>
      </c>
      <c r="J210" t="s">
        <v>852</v>
      </c>
      <c r="K210" t="s">
        <v>852</v>
      </c>
    </row>
    <row r="211" spans="1:11" x14ac:dyDescent="0.3">
      <c r="A211" t="s">
        <v>183</v>
      </c>
      <c r="B211" t="str">
        <f>IF(Calculator!$B$1="NL",Data!K211,Data!J211)</f>
        <v>EM. BOCKSTAEL (BOULEVARD)-SUD_21004E73-</v>
      </c>
      <c r="C211">
        <v>1593</v>
      </c>
      <c r="D211">
        <v>719</v>
      </c>
      <c r="E211">
        <v>31.731926420000001</v>
      </c>
      <c r="F211">
        <v>0.949238578680203</v>
      </c>
      <c r="G211">
        <f t="shared" si="9"/>
        <v>0.45134965473948524</v>
      </c>
      <c r="H211">
        <f t="shared" si="10"/>
        <v>0.44566713240200001</v>
      </c>
      <c r="I211">
        <f t="shared" si="11"/>
        <v>0.42608297389220545</v>
      </c>
      <c r="J211" t="s">
        <v>853</v>
      </c>
      <c r="K211" t="s">
        <v>1437</v>
      </c>
    </row>
    <row r="212" spans="1:11" x14ac:dyDescent="0.3">
      <c r="A212" t="s">
        <v>184</v>
      </c>
      <c r="B212" t="str">
        <f>IF(Calculator!$B$1="NL",Data!K212,Data!J212)</f>
        <v>EM. DELVA (RUE)_21004E74-</v>
      </c>
      <c r="C212">
        <v>3629</v>
      </c>
      <c r="D212">
        <v>1694</v>
      </c>
      <c r="E212">
        <v>32.489944610000002</v>
      </c>
      <c r="F212">
        <v>0.90292887029288704</v>
      </c>
      <c r="G212">
        <f t="shared" si="9"/>
        <v>0.46679526040231467</v>
      </c>
      <c r="H212">
        <f t="shared" si="10"/>
        <v>0.466967443541</v>
      </c>
      <c r="I212">
        <f t="shared" si="11"/>
        <v>0.44353728437307449</v>
      </c>
      <c r="J212" t="s">
        <v>854</v>
      </c>
      <c r="K212" t="s">
        <v>1438</v>
      </c>
    </row>
    <row r="213" spans="1:11" x14ac:dyDescent="0.3">
      <c r="A213" t="s">
        <v>548</v>
      </c>
      <c r="B213" t="str">
        <f>IF(Calculator!$B$1="NL",Data!K213,Data!J213)</f>
        <v>EMERAUDE (AVENUE)_21015A54-</v>
      </c>
      <c r="C213">
        <v>2405</v>
      </c>
      <c r="D213">
        <v>1397</v>
      </c>
      <c r="E213">
        <v>32.180641459999997</v>
      </c>
      <c r="F213">
        <v>0.86008230452674894</v>
      </c>
      <c r="G213">
        <f t="shared" si="9"/>
        <v>0.58087318087318085</v>
      </c>
      <c r="H213">
        <f t="shared" si="10"/>
        <v>0.4582760250259999</v>
      </c>
      <c r="I213">
        <f t="shared" si="11"/>
        <v>0.49359587280211081</v>
      </c>
      <c r="J213" t="s">
        <v>855</v>
      </c>
      <c r="K213" t="s">
        <v>1439</v>
      </c>
    </row>
    <row r="214" spans="1:11" x14ac:dyDescent="0.3">
      <c r="A214" t="s">
        <v>281</v>
      </c>
      <c r="B214" t="str">
        <f>IF(Calculator!$B$1="NL",Data!K214,Data!J214)</f>
        <v>ENGELAND_21016A610</v>
      </c>
      <c r="C214">
        <v>231</v>
      </c>
      <c r="D214">
        <v>252</v>
      </c>
      <c r="E214">
        <v>53.61675408</v>
      </c>
      <c r="F214">
        <v>0.13673469387755099</v>
      </c>
      <c r="G214">
        <f t="shared" si="9"/>
        <v>1.0909090909090908</v>
      </c>
      <c r="H214">
        <f t="shared" si="10"/>
        <v>1.0606307896480001</v>
      </c>
      <c r="I214">
        <f t="shared" si="11"/>
        <v>0.96819294625069097</v>
      </c>
      <c r="J214" t="s">
        <v>856</v>
      </c>
      <c r="K214" t="s">
        <v>856</v>
      </c>
    </row>
    <row r="215" spans="1:11" x14ac:dyDescent="0.3">
      <c r="A215" t="s">
        <v>375</v>
      </c>
      <c r="B215" t="str">
        <f>IF(Calculator!$B$1="NL",Data!K215,Data!J215)</f>
        <v>ERMITAGE_21009A03-</v>
      </c>
      <c r="C215">
        <v>1302</v>
      </c>
      <c r="D215">
        <v>516</v>
      </c>
      <c r="E215">
        <v>33.576079380000003</v>
      </c>
      <c r="F215">
        <v>0.82571428571428573</v>
      </c>
      <c r="G215">
        <f t="shared" si="9"/>
        <v>0.39631336405529954</v>
      </c>
      <c r="H215">
        <f t="shared" si="10"/>
        <v>0.49748783057800011</v>
      </c>
      <c r="I215">
        <f t="shared" si="11"/>
        <v>0.40221053758498487</v>
      </c>
      <c r="J215" t="s">
        <v>857</v>
      </c>
      <c r="K215" t="s">
        <v>1440</v>
      </c>
    </row>
    <row r="216" spans="1:11" x14ac:dyDescent="0.3">
      <c r="A216" t="s">
        <v>609</v>
      </c>
      <c r="B216" t="str">
        <f>IF(Calculator!$B$1="NL",Data!K216,Data!J216)</f>
        <v>ESCRIME (AVENUE DE L')_21019A12-</v>
      </c>
      <c r="C216">
        <v>213</v>
      </c>
      <c r="D216">
        <v>289</v>
      </c>
      <c r="E216">
        <v>49.900615520000002</v>
      </c>
      <c r="F216">
        <v>0.45560747663551399</v>
      </c>
      <c r="G216">
        <f t="shared" si="9"/>
        <v>1.3568075117370892</v>
      </c>
      <c r="H216">
        <f t="shared" si="10"/>
        <v>0.95620729611200006</v>
      </c>
      <c r="I216">
        <f t="shared" si="11"/>
        <v>1.0408566635320902</v>
      </c>
      <c r="J216" t="s">
        <v>858</v>
      </c>
      <c r="K216" t="s">
        <v>1441</v>
      </c>
    </row>
    <row r="217" spans="1:11" x14ac:dyDescent="0.3">
      <c r="A217" t="s">
        <v>349</v>
      </c>
      <c r="B217" t="str">
        <f>IF(Calculator!$B$1="NL",Data!K217,Data!J217)</f>
        <v>ESPAGNE (RUE D')_21013A01-</v>
      </c>
      <c r="C217">
        <v>1792</v>
      </c>
      <c r="D217">
        <v>662</v>
      </c>
      <c r="E217">
        <v>32.263771609999999</v>
      </c>
      <c r="F217">
        <v>0.87589158345221108</v>
      </c>
      <c r="G217">
        <f t="shared" si="9"/>
        <v>0.36941964285714285</v>
      </c>
      <c r="H217">
        <f t="shared" si="10"/>
        <v>0.46061198224099992</v>
      </c>
      <c r="I217">
        <f t="shared" si="11"/>
        <v>0.39426502192161778</v>
      </c>
      <c r="J217" t="s">
        <v>859</v>
      </c>
      <c r="K217" t="s">
        <v>1442</v>
      </c>
    </row>
    <row r="218" spans="1:11" x14ac:dyDescent="0.3">
      <c r="A218" t="s">
        <v>500</v>
      </c>
      <c r="B218" t="str">
        <f>IF(Calculator!$B$1="NL",Data!K218,Data!J218)</f>
        <v>ESSEGHEM_21010A01-</v>
      </c>
      <c r="C218">
        <v>1991</v>
      </c>
      <c r="D218">
        <v>1048</v>
      </c>
      <c r="E218">
        <v>35.168917810000003</v>
      </c>
      <c r="F218">
        <v>0.91172413793103446</v>
      </c>
      <c r="G218">
        <f t="shared" si="9"/>
        <v>0.52636865896534402</v>
      </c>
      <c r="H218">
        <f t="shared" si="10"/>
        <v>0.5422465904610001</v>
      </c>
      <c r="I218">
        <f t="shared" si="11"/>
        <v>0.50759224347751342</v>
      </c>
      <c r="J218" t="s">
        <v>860</v>
      </c>
      <c r="K218" t="s">
        <v>860</v>
      </c>
    </row>
    <row r="219" spans="1:11" x14ac:dyDescent="0.3">
      <c r="A219" t="s">
        <v>215</v>
      </c>
      <c r="B219" t="str">
        <f>IF(Calculator!$B$1="NL",Data!K219,Data!J219)</f>
        <v>ETANGS NOIRS_21012A152</v>
      </c>
      <c r="C219">
        <v>2378</v>
      </c>
      <c r="D219">
        <v>819</v>
      </c>
      <c r="E219">
        <v>29.971253539999999</v>
      </c>
      <c r="F219">
        <v>0.99352750809061485</v>
      </c>
      <c r="G219">
        <f t="shared" si="9"/>
        <v>0.34440706476030275</v>
      </c>
      <c r="H219">
        <f t="shared" si="10"/>
        <v>0.39619222447399999</v>
      </c>
      <c r="I219">
        <f t="shared" si="11"/>
        <v>0.3517846623862938</v>
      </c>
      <c r="J219" t="s">
        <v>861</v>
      </c>
      <c r="K219" t="s">
        <v>1443</v>
      </c>
    </row>
    <row r="220" spans="1:11" x14ac:dyDescent="0.3">
      <c r="A220" t="s">
        <v>384</v>
      </c>
      <c r="B220" t="str">
        <f>IF(Calculator!$B$1="NL",Data!K220,Data!J220)</f>
        <v>ETE_21009A21-</v>
      </c>
      <c r="C220">
        <v>2552</v>
      </c>
      <c r="D220">
        <v>652</v>
      </c>
      <c r="E220">
        <v>37.766539510000001</v>
      </c>
      <c r="F220">
        <v>0.69811320754716977</v>
      </c>
      <c r="G220">
        <f t="shared" si="9"/>
        <v>0.2554858934169279</v>
      </c>
      <c r="H220">
        <f t="shared" si="10"/>
        <v>0.61523976023100002</v>
      </c>
      <c r="I220">
        <f t="shared" si="11"/>
        <v>0.39182654414156759</v>
      </c>
      <c r="J220" t="s">
        <v>862</v>
      </c>
      <c r="K220" t="s">
        <v>1444</v>
      </c>
    </row>
    <row r="221" spans="1:11" x14ac:dyDescent="0.3">
      <c r="A221" t="s">
        <v>386</v>
      </c>
      <c r="B221" t="str">
        <f>IF(Calculator!$B$1="NL",Data!K221,Data!J221)</f>
        <v>ETOILE (ROND POINT DE L')_21009A23-</v>
      </c>
      <c r="C221">
        <v>1328</v>
      </c>
      <c r="D221">
        <v>767</v>
      </c>
      <c r="E221">
        <v>32.523494110000001</v>
      </c>
      <c r="F221">
        <v>0.88198757763975155</v>
      </c>
      <c r="G221">
        <f t="shared" si="9"/>
        <v>0.57756024096385539</v>
      </c>
      <c r="H221">
        <f t="shared" si="10"/>
        <v>0.46791018449100003</v>
      </c>
      <c r="I221">
        <f t="shared" si="11"/>
        <v>0.4965984520910563</v>
      </c>
      <c r="J221" t="s">
        <v>863</v>
      </c>
      <c r="K221" t="s">
        <v>1445</v>
      </c>
    </row>
    <row r="222" spans="1:11" x14ac:dyDescent="0.3">
      <c r="A222" t="s">
        <v>586</v>
      </c>
      <c r="B222" t="str">
        <f>IF(Calculator!$B$1="NL",Data!K222,Data!J222)</f>
        <v>EUROPE_21018A41-</v>
      </c>
      <c r="C222">
        <v>853</v>
      </c>
      <c r="D222">
        <v>510</v>
      </c>
      <c r="E222">
        <v>31.950772090000001</v>
      </c>
      <c r="F222">
        <v>0.75909090909090904</v>
      </c>
      <c r="G222">
        <f t="shared" si="9"/>
        <v>0.59788980070339981</v>
      </c>
      <c r="H222">
        <f t="shared" si="10"/>
        <v>0.45181669572900002</v>
      </c>
      <c r="I222">
        <f t="shared" si="11"/>
        <v>0.47236792339457995</v>
      </c>
      <c r="J222" t="s">
        <v>864</v>
      </c>
      <c r="K222" t="s">
        <v>1446</v>
      </c>
    </row>
    <row r="223" spans="1:11" x14ac:dyDescent="0.3">
      <c r="A223" t="s">
        <v>623</v>
      </c>
      <c r="B223" t="str">
        <f>IF(Calculator!$B$1="NL",Data!K223,Data!J223)</f>
        <v>EUROPE (QUARTIER DE L')_21019A34-</v>
      </c>
      <c r="C223">
        <v>477</v>
      </c>
      <c r="D223">
        <v>493</v>
      </c>
      <c r="E223">
        <v>43.525279099999999</v>
      </c>
      <c r="F223">
        <v>0.80371352785145889</v>
      </c>
      <c r="G223">
        <f t="shared" si="9"/>
        <v>1.0335429769392033</v>
      </c>
      <c r="H223">
        <f t="shared" si="10"/>
        <v>0.77706034271000002</v>
      </c>
      <c r="I223">
        <f t="shared" si="11"/>
        <v>0.81477149384214154</v>
      </c>
      <c r="J223" t="s">
        <v>865</v>
      </c>
      <c r="K223" t="s">
        <v>1447</v>
      </c>
    </row>
    <row r="224" spans="1:11" x14ac:dyDescent="0.3">
      <c r="A224" t="s">
        <v>555</v>
      </c>
      <c r="B224" t="str">
        <f>IF(Calculator!$B$1="NL",Data!K224,Data!J224)</f>
        <v>F. COURTENS (AVENUE)_21015A721</v>
      </c>
      <c r="C224">
        <v>407</v>
      </c>
      <c r="D224">
        <v>321</v>
      </c>
      <c r="E224">
        <v>36.301759480000001</v>
      </c>
      <c r="F224">
        <v>0.70184696569920846</v>
      </c>
      <c r="G224">
        <f t="shared" si="9"/>
        <v>0.78869778869778873</v>
      </c>
      <c r="H224">
        <f t="shared" si="10"/>
        <v>0.57407944138800016</v>
      </c>
      <c r="I224">
        <f t="shared" si="11"/>
        <v>0.61324975353860511</v>
      </c>
      <c r="J224" t="s">
        <v>866</v>
      </c>
      <c r="K224" t="s">
        <v>1448</v>
      </c>
    </row>
    <row r="225" spans="1:11" x14ac:dyDescent="0.3">
      <c r="A225" t="s">
        <v>507</v>
      </c>
      <c r="B225" t="str">
        <f>IF(Calculator!$B$1="NL",Data!K225,Data!J225)</f>
        <v>F. MOHRFELD (RUE DE)_21010A121</v>
      </c>
      <c r="C225">
        <v>550</v>
      </c>
      <c r="D225">
        <v>398</v>
      </c>
      <c r="E225">
        <v>38.635917399999997</v>
      </c>
      <c r="F225">
        <v>0.95238095238095233</v>
      </c>
      <c r="G225">
        <f t="shared" si="9"/>
        <v>0.72363636363636363</v>
      </c>
      <c r="H225">
        <f t="shared" si="10"/>
        <v>0.63966927894000003</v>
      </c>
      <c r="I225">
        <f t="shared" si="11"/>
        <v>0.64757018022377266</v>
      </c>
      <c r="J225" t="s">
        <v>867</v>
      </c>
      <c r="K225" t="s">
        <v>1449</v>
      </c>
    </row>
    <row r="226" spans="1:11" x14ac:dyDescent="0.3">
      <c r="A226" t="s">
        <v>353</v>
      </c>
      <c r="B226" t="str">
        <f>IF(Calculator!$B$1="NL",Data!K226,Data!J226)</f>
        <v>FAIDER (RUE)_21013A052</v>
      </c>
      <c r="C226">
        <v>926</v>
      </c>
      <c r="D226">
        <v>344</v>
      </c>
      <c r="E226">
        <v>34.386948410000002</v>
      </c>
      <c r="F226">
        <v>0.59706959706959706</v>
      </c>
      <c r="G226">
        <f t="shared" si="9"/>
        <v>0.37149028077753782</v>
      </c>
      <c r="H226">
        <f t="shared" si="10"/>
        <v>0.52027325032100014</v>
      </c>
      <c r="I226">
        <f t="shared" si="11"/>
        <v>0.40129358899434209</v>
      </c>
      <c r="J226" t="s">
        <v>868</v>
      </c>
      <c r="K226" t="s">
        <v>1450</v>
      </c>
    </row>
    <row r="227" spans="1:11" x14ac:dyDescent="0.3">
      <c r="A227" t="s">
        <v>629</v>
      </c>
      <c r="B227" t="str">
        <f>IF(Calculator!$B$1="NL",Data!K227,Data!J227)</f>
        <v>FAISANDERIE_21019A441</v>
      </c>
      <c r="C227">
        <v>156</v>
      </c>
      <c r="D227">
        <v>211</v>
      </c>
      <c r="E227">
        <v>53.454854699999999</v>
      </c>
      <c r="F227">
        <v>0.33467741935483869</v>
      </c>
      <c r="G227">
        <f t="shared" si="9"/>
        <v>1.3525641025641026</v>
      </c>
      <c r="H227">
        <f t="shared" si="10"/>
        <v>1.0560814170699999</v>
      </c>
      <c r="I227">
        <f t="shared" si="11"/>
        <v>1.0838904838353463</v>
      </c>
      <c r="J227" t="s">
        <v>869</v>
      </c>
      <c r="K227" t="s">
        <v>1451</v>
      </c>
    </row>
    <row r="228" spans="1:11" x14ac:dyDescent="0.3">
      <c r="A228" t="s">
        <v>395</v>
      </c>
      <c r="B228" t="str">
        <f>IF(Calculator!$B$1="NL",Data!K228,Data!J228)</f>
        <v>FERNAND NEURAY_21009A43-</v>
      </c>
      <c r="C228">
        <v>1000</v>
      </c>
      <c r="D228">
        <v>584</v>
      </c>
      <c r="E228">
        <v>36.333987739999998</v>
      </c>
      <c r="F228">
        <v>0.89473684210526316</v>
      </c>
      <c r="G228">
        <f t="shared" si="9"/>
        <v>0.58399999999999996</v>
      </c>
      <c r="H228">
        <f t="shared" si="10"/>
        <v>0.57498505549399992</v>
      </c>
      <c r="I228">
        <f t="shared" si="11"/>
        <v>0.55051790135964995</v>
      </c>
      <c r="J228" t="s">
        <v>870</v>
      </c>
      <c r="K228" t="s">
        <v>870</v>
      </c>
    </row>
    <row r="229" spans="1:11" x14ac:dyDescent="0.3">
      <c r="A229" t="s">
        <v>378</v>
      </c>
      <c r="B229" t="str">
        <f>IF(Calculator!$B$1="NL",Data!K229,Data!J229)</f>
        <v>FLAGEY (PLACE)_21009A101</v>
      </c>
      <c r="C229">
        <v>999</v>
      </c>
      <c r="D229">
        <v>272</v>
      </c>
      <c r="E229">
        <v>29.12724669</v>
      </c>
      <c r="F229">
        <v>0.65254237288135597</v>
      </c>
      <c r="G229">
        <f t="shared" si="9"/>
        <v>0.2722722722722723</v>
      </c>
      <c r="H229">
        <f t="shared" si="10"/>
        <v>0.37247563198899997</v>
      </c>
      <c r="I229">
        <f t="shared" si="11"/>
        <v>0.29013655691757251</v>
      </c>
      <c r="J229" t="s">
        <v>871</v>
      </c>
      <c r="K229" t="s">
        <v>1452</v>
      </c>
    </row>
    <row r="230" spans="1:11" x14ac:dyDescent="0.3">
      <c r="A230" t="s">
        <v>307</v>
      </c>
      <c r="B230" t="str">
        <f>IF(Calculator!$B$1="NL",Data!K230,Data!J230)</f>
        <v>FLOREAL_21017A11-</v>
      </c>
      <c r="C230">
        <v>825</v>
      </c>
      <c r="D230">
        <v>485</v>
      </c>
      <c r="E230">
        <v>42.76520403</v>
      </c>
      <c r="F230">
        <v>0.54786620530565167</v>
      </c>
      <c r="G230">
        <f t="shared" si="9"/>
        <v>0.58787878787878789</v>
      </c>
      <c r="H230">
        <f t="shared" si="10"/>
        <v>0.75570223324300012</v>
      </c>
      <c r="I230">
        <f t="shared" si="11"/>
        <v>0.60461145950480466</v>
      </c>
      <c r="J230" t="s">
        <v>872</v>
      </c>
      <c r="K230" t="s">
        <v>872</v>
      </c>
    </row>
    <row r="231" spans="1:11" x14ac:dyDescent="0.3">
      <c r="A231" t="s">
        <v>272</v>
      </c>
      <c r="B231" t="str">
        <f>IF(Calculator!$B$1="NL",Data!K231,Data!J231)</f>
        <v>FOND_21016A342</v>
      </c>
      <c r="C231">
        <v>1256</v>
      </c>
      <c r="D231">
        <v>1907</v>
      </c>
      <c r="E231">
        <v>61.300414789999998</v>
      </c>
      <c r="F231">
        <v>0.22307692307692309</v>
      </c>
      <c r="G231">
        <f t="shared" si="9"/>
        <v>1.5183121019108281</v>
      </c>
      <c r="H231">
        <f t="shared" si="10"/>
        <v>1.2765416555989999</v>
      </c>
      <c r="I231">
        <f t="shared" si="11"/>
        <v>1.2576841908794227</v>
      </c>
      <c r="J231" t="s">
        <v>873</v>
      </c>
      <c r="K231" t="s">
        <v>1453</v>
      </c>
    </row>
    <row r="232" spans="1:11" x14ac:dyDescent="0.3">
      <c r="A232" t="s">
        <v>361</v>
      </c>
      <c r="B232" t="str">
        <f>IF(Calculator!$B$1="NL",Data!K232,Data!J232)</f>
        <v>FONTAINAS_21013A211</v>
      </c>
      <c r="C232">
        <v>1142</v>
      </c>
      <c r="D232">
        <v>316</v>
      </c>
      <c r="E232">
        <v>25.405878919999999</v>
      </c>
      <c r="F232">
        <v>0.85507246376811596</v>
      </c>
      <c r="G232">
        <f t="shared" si="9"/>
        <v>0.27670753064798598</v>
      </c>
      <c r="H232">
        <f t="shared" si="10"/>
        <v>0.26790519765199999</v>
      </c>
      <c r="I232">
        <f t="shared" si="11"/>
        <v>0.25869104594249331</v>
      </c>
      <c r="J232" t="s">
        <v>874</v>
      </c>
      <c r="K232" t="s">
        <v>874</v>
      </c>
    </row>
    <row r="233" spans="1:11" x14ac:dyDescent="0.3">
      <c r="A233" t="s">
        <v>414</v>
      </c>
      <c r="B233" t="str">
        <f>IF(Calculator!$B$1="NL",Data!K233,Data!J233)</f>
        <v>FORET_21009A82-</v>
      </c>
      <c r="C233">
        <v>704</v>
      </c>
      <c r="D233">
        <v>519</v>
      </c>
      <c r="E233">
        <v>34.538525839999998</v>
      </c>
      <c r="F233">
        <v>0.4924812030075188</v>
      </c>
      <c r="G233">
        <f t="shared" si="9"/>
        <v>0.73721590909090906</v>
      </c>
      <c r="H233">
        <f t="shared" si="10"/>
        <v>0.52453257610399984</v>
      </c>
      <c r="I233">
        <f t="shared" si="11"/>
        <v>0.56778681833770905</v>
      </c>
      <c r="J233" t="s">
        <v>875</v>
      </c>
      <c r="K233" t="s">
        <v>1454</v>
      </c>
    </row>
    <row r="234" spans="1:11" x14ac:dyDescent="0.3">
      <c r="A234" t="s">
        <v>269</v>
      </c>
      <c r="B234" t="str">
        <f>IF(Calculator!$B$1="NL",Data!K234,Data!J234)</f>
        <v>FORT JACO_21016A311</v>
      </c>
      <c r="C234">
        <v>634</v>
      </c>
      <c r="D234">
        <v>790</v>
      </c>
      <c r="E234">
        <v>47.444317650000002</v>
      </c>
      <c r="F234">
        <v>0.41889985895627652</v>
      </c>
      <c r="G234">
        <f t="shared" si="9"/>
        <v>1.2460567823343849</v>
      </c>
      <c r="H234">
        <f t="shared" si="10"/>
        <v>0.88718532596500022</v>
      </c>
      <c r="I234">
        <f t="shared" si="11"/>
        <v>0.95995894873472332</v>
      </c>
      <c r="J234" t="s">
        <v>876</v>
      </c>
      <c r="K234" t="s">
        <v>876</v>
      </c>
    </row>
    <row r="235" spans="1:11" x14ac:dyDescent="0.3">
      <c r="A235" t="s">
        <v>422</v>
      </c>
      <c r="B235" t="str">
        <f>IF(Calculator!$B$1="NL",Data!K235,Data!J235)</f>
        <v>FOYER FORESTOIS - FAMILLE_21007A03-</v>
      </c>
      <c r="C235">
        <v>413</v>
      </c>
      <c r="D235">
        <v>252</v>
      </c>
      <c r="E235">
        <v>46.673664760000001</v>
      </c>
      <c r="F235">
        <v>0.92703862660944203</v>
      </c>
      <c r="G235">
        <f t="shared" si="9"/>
        <v>0.61016949152542377</v>
      </c>
      <c r="H235">
        <f t="shared" si="10"/>
        <v>0.8655299797560001</v>
      </c>
      <c r="I235">
        <f t="shared" si="11"/>
        <v>0.70095724885867627</v>
      </c>
      <c r="J235" t="s">
        <v>877</v>
      </c>
      <c r="K235" t="s">
        <v>1455</v>
      </c>
    </row>
    <row r="236" spans="1:11" x14ac:dyDescent="0.3">
      <c r="A236" t="s">
        <v>423</v>
      </c>
      <c r="B236" t="str">
        <f>IF(Calculator!$B$1="NL",Data!K236,Data!J236)</f>
        <v>FOYER FORESTOIS - MADELON_21007A04-</v>
      </c>
      <c r="C236">
        <v>324</v>
      </c>
      <c r="D236">
        <v>137</v>
      </c>
      <c r="E236">
        <v>40.840575790000003</v>
      </c>
      <c r="F236">
        <v>0.43137254901960792</v>
      </c>
      <c r="G236">
        <f t="shared" si="9"/>
        <v>0.4228395061728395</v>
      </c>
      <c r="H236">
        <f t="shared" si="10"/>
        <v>0.70162017969900004</v>
      </c>
      <c r="I236">
        <f t="shared" si="11"/>
        <v>0.50600685864232786</v>
      </c>
      <c r="J236" t="s">
        <v>878</v>
      </c>
      <c r="K236" t="s">
        <v>1456</v>
      </c>
    </row>
    <row r="237" spans="1:11" x14ac:dyDescent="0.3">
      <c r="A237" t="s">
        <v>317</v>
      </c>
      <c r="B237" t="str">
        <f>IF(Calculator!$B$1="NL",Data!K237,Data!J237)</f>
        <v>FUTAIE_21017A451</v>
      </c>
      <c r="C237">
        <v>578</v>
      </c>
      <c r="D237">
        <v>541</v>
      </c>
      <c r="E237">
        <v>49.323884909999997</v>
      </c>
      <c r="F237">
        <v>0.74620390455531449</v>
      </c>
      <c r="G237">
        <f t="shared" si="9"/>
        <v>0.93598615916955019</v>
      </c>
      <c r="H237">
        <f t="shared" si="10"/>
        <v>0.94000116597099992</v>
      </c>
      <c r="I237">
        <f t="shared" si="11"/>
        <v>0.84419429631324761</v>
      </c>
      <c r="J237" t="s">
        <v>879</v>
      </c>
      <c r="K237" t="s">
        <v>1457</v>
      </c>
    </row>
    <row r="238" spans="1:11" x14ac:dyDescent="0.3">
      <c r="A238" t="s">
        <v>381</v>
      </c>
      <c r="B238" t="str">
        <f>IF(Calculator!$B$1="NL",Data!K238,Data!J238)</f>
        <v>GACHARD_21009A13-</v>
      </c>
      <c r="C238">
        <v>878</v>
      </c>
      <c r="D238">
        <v>298</v>
      </c>
      <c r="E238">
        <v>32.227071870000003</v>
      </c>
      <c r="F238">
        <v>0.73134328358208955</v>
      </c>
      <c r="G238">
        <f t="shared" si="9"/>
        <v>0.33940774487471526</v>
      </c>
      <c r="H238">
        <f t="shared" si="10"/>
        <v>0.45958071954700003</v>
      </c>
      <c r="I238">
        <f t="shared" si="11"/>
        <v>0.35954480898977192</v>
      </c>
      <c r="J238" t="s">
        <v>880</v>
      </c>
      <c r="K238" t="s">
        <v>880</v>
      </c>
    </row>
    <row r="239" spans="1:11" x14ac:dyDescent="0.3">
      <c r="A239" t="s">
        <v>109</v>
      </c>
      <c r="B239" t="str">
        <f>IF(Calculator!$B$1="NL",Data!K239,Data!J239)</f>
        <v>GARE_21003A2MJ</v>
      </c>
      <c r="C239">
        <v>206</v>
      </c>
      <c r="D239">
        <v>151</v>
      </c>
      <c r="E239">
        <v>32.865919230000003</v>
      </c>
      <c r="F239">
        <v>0.34615384615384609</v>
      </c>
      <c r="G239">
        <f t="shared" si="9"/>
        <v>0.73300970873786409</v>
      </c>
      <c r="H239">
        <f t="shared" si="10"/>
        <v>0.47753233036300008</v>
      </c>
      <c r="I239">
        <f t="shared" si="11"/>
        <v>0.54474391759538887</v>
      </c>
      <c r="J239" t="s">
        <v>881</v>
      </c>
      <c r="K239" t="s">
        <v>1458</v>
      </c>
    </row>
    <row r="240" spans="1:11" x14ac:dyDescent="0.3">
      <c r="A240" t="s">
        <v>519</v>
      </c>
      <c r="B240" t="str">
        <f>IF(Calculator!$B$1="NL",Data!K240,Data!J240)</f>
        <v>GARE_21015A101</v>
      </c>
      <c r="C240">
        <v>770</v>
      </c>
      <c r="D240">
        <v>403</v>
      </c>
      <c r="E240">
        <v>36.193127769999997</v>
      </c>
      <c r="F240">
        <v>0.92287917737789205</v>
      </c>
      <c r="G240">
        <f t="shared" si="9"/>
        <v>0.52337662337662338</v>
      </c>
      <c r="H240">
        <f t="shared" si="10"/>
        <v>0.57102689033699994</v>
      </c>
      <c r="I240">
        <f t="shared" si="11"/>
        <v>0.51984166901397111</v>
      </c>
      <c r="J240" t="s">
        <v>882</v>
      </c>
      <c r="K240" t="s">
        <v>1459</v>
      </c>
    </row>
    <row r="241" spans="1:11" x14ac:dyDescent="0.3">
      <c r="A241" t="s">
        <v>541</v>
      </c>
      <c r="B241" t="str">
        <f>IF(Calculator!$B$1="NL",Data!K241,Data!J241)</f>
        <v>GARE DU NORD_21015A43-</v>
      </c>
      <c r="C241">
        <v>754</v>
      </c>
      <c r="D241">
        <v>334</v>
      </c>
      <c r="E241">
        <v>33.64511718</v>
      </c>
      <c r="F241">
        <v>0.68484848484848482</v>
      </c>
      <c r="G241">
        <f t="shared" si="9"/>
        <v>0.44297082228116713</v>
      </c>
      <c r="H241">
        <f t="shared" si="10"/>
        <v>0.49942779275800003</v>
      </c>
      <c r="I241">
        <f t="shared" si="11"/>
        <v>0.42407937676762525</v>
      </c>
      <c r="J241" t="s">
        <v>883</v>
      </c>
      <c r="K241" t="s">
        <v>1460</v>
      </c>
    </row>
    <row r="242" spans="1:11" x14ac:dyDescent="0.3">
      <c r="A242" t="s">
        <v>216</v>
      </c>
      <c r="B242" t="str">
        <f>IF(Calculator!$B$1="NL",Data!K242,Data!J242)</f>
        <v>GARE OUEST_21012A172</v>
      </c>
      <c r="C242">
        <v>623</v>
      </c>
      <c r="D242">
        <v>262</v>
      </c>
      <c r="E242">
        <v>29.1886881</v>
      </c>
      <c r="F242">
        <v>0.8202614379084967</v>
      </c>
      <c r="G242">
        <f t="shared" si="9"/>
        <v>0.420545746388443</v>
      </c>
      <c r="H242">
        <f t="shared" si="10"/>
        <v>0.37420213560999999</v>
      </c>
      <c r="I242">
        <f t="shared" si="11"/>
        <v>0.35763654689929936</v>
      </c>
      <c r="J242" t="s">
        <v>884</v>
      </c>
      <c r="K242" t="s">
        <v>1461</v>
      </c>
    </row>
    <row r="243" spans="1:11" x14ac:dyDescent="0.3">
      <c r="A243" t="s">
        <v>380</v>
      </c>
      <c r="B243" t="str">
        <f>IF(Calculator!$B$1="NL",Data!K243,Data!J243)</f>
        <v>GENERAL DE GAULLE_21009A121</v>
      </c>
      <c r="C243">
        <v>692</v>
      </c>
      <c r="D243">
        <v>411</v>
      </c>
      <c r="E243">
        <v>33.98102179</v>
      </c>
      <c r="F243">
        <v>0.66891891891891897</v>
      </c>
      <c r="G243">
        <f t="shared" si="9"/>
        <v>0.59393063583815031</v>
      </c>
      <c r="H243">
        <f t="shared" si="10"/>
        <v>0.50886671229900005</v>
      </c>
      <c r="I243">
        <f t="shared" si="11"/>
        <v>0.49625880666171773</v>
      </c>
      <c r="J243" t="s">
        <v>885</v>
      </c>
      <c r="K243" t="s">
        <v>1462</v>
      </c>
    </row>
    <row r="244" spans="1:11" x14ac:dyDescent="0.3">
      <c r="A244" t="s">
        <v>487</v>
      </c>
      <c r="B244" t="str">
        <f>IF(Calculator!$B$1="NL",Data!K244,Data!J244)</f>
        <v>GENERAL HENRI (RUE)_21005A10-</v>
      </c>
      <c r="C244">
        <v>1925</v>
      </c>
      <c r="D244">
        <v>804</v>
      </c>
      <c r="E244">
        <v>36.812251949999997</v>
      </c>
      <c r="F244">
        <v>0.87631975867269984</v>
      </c>
      <c r="G244">
        <f t="shared" si="9"/>
        <v>0.41766233766233768</v>
      </c>
      <c r="H244">
        <f t="shared" si="10"/>
        <v>0.58842427979499989</v>
      </c>
      <c r="I244">
        <f t="shared" si="11"/>
        <v>0.47789114329223531</v>
      </c>
      <c r="J244" t="s">
        <v>886</v>
      </c>
      <c r="K244" t="s">
        <v>1463</v>
      </c>
    </row>
    <row r="245" spans="1:11" x14ac:dyDescent="0.3">
      <c r="A245" t="s">
        <v>574</v>
      </c>
      <c r="B245" t="str">
        <f>IF(Calculator!$B$1="NL",Data!K245,Data!J245)</f>
        <v>GEORGES HENRI (AVENUE)_21018A20-</v>
      </c>
      <c r="C245">
        <v>1675</v>
      </c>
      <c r="D245">
        <v>948</v>
      </c>
      <c r="E245">
        <v>31.352815060000001</v>
      </c>
      <c r="F245">
        <v>0.81736189402480275</v>
      </c>
      <c r="G245">
        <f t="shared" si="9"/>
        <v>0.56597014925373135</v>
      </c>
      <c r="H245">
        <f t="shared" si="10"/>
        <v>0.43501410318600003</v>
      </c>
      <c r="I245">
        <f t="shared" si="11"/>
        <v>0.45044291359787914</v>
      </c>
      <c r="J245" t="s">
        <v>887</v>
      </c>
      <c r="K245" t="s">
        <v>1464</v>
      </c>
    </row>
    <row r="246" spans="1:11" x14ac:dyDescent="0.3">
      <c r="A246" t="s">
        <v>462</v>
      </c>
      <c r="B246" t="str">
        <f>IF(Calculator!$B$1="NL",Data!K246,Data!J246)</f>
        <v>GERMINAL I_21006A12-</v>
      </c>
      <c r="C246">
        <v>316</v>
      </c>
      <c r="D246">
        <v>161</v>
      </c>
      <c r="E246">
        <v>38.217052770000002</v>
      </c>
      <c r="F246">
        <v>0.78481012658227844</v>
      </c>
      <c r="G246">
        <f t="shared" si="9"/>
        <v>0.509493670886076</v>
      </c>
      <c r="H246">
        <f t="shared" si="10"/>
        <v>0.62789918283700019</v>
      </c>
      <c r="I246">
        <f t="shared" si="11"/>
        <v>0.5118267841753843</v>
      </c>
      <c r="J246" t="s">
        <v>888</v>
      </c>
      <c r="K246" t="s">
        <v>888</v>
      </c>
    </row>
    <row r="247" spans="1:11" x14ac:dyDescent="0.3">
      <c r="A247" t="s">
        <v>475</v>
      </c>
      <c r="B247" t="str">
        <f>IF(Calculator!$B$1="NL",Data!K247,Data!J247)</f>
        <v>GERMINAL II_21006A323</v>
      </c>
      <c r="C247">
        <v>373</v>
      </c>
      <c r="D247">
        <v>200</v>
      </c>
      <c r="E247">
        <v>40.708039249999999</v>
      </c>
      <c r="F247">
        <v>2.5882352941176472</v>
      </c>
      <c r="G247">
        <f t="shared" si="9"/>
        <v>0.53619302949061665</v>
      </c>
      <c r="H247">
        <f t="shared" si="10"/>
        <v>0.69789590292500003</v>
      </c>
      <c r="I247">
        <f t="shared" si="11"/>
        <v>0.61704446620780828</v>
      </c>
      <c r="J247" t="s">
        <v>889</v>
      </c>
      <c r="K247" t="s">
        <v>889</v>
      </c>
    </row>
    <row r="248" spans="1:11" x14ac:dyDescent="0.3">
      <c r="A248" t="s">
        <v>472</v>
      </c>
      <c r="B248" t="str">
        <f>IF(Calculator!$B$1="NL",Data!K248,Data!J248)</f>
        <v>GIBET_21006A25-</v>
      </c>
      <c r="C248">
        <v>453</v>
      </c>
      <c r="D248">
        <v>196</v>
      </c>
      <c r="E248">
        <v>40.259108640000001</v>
      </c>
      <c r="F248">
        <v>0.46889952153110048</v>
      </c>
      <c r="G248">
        <f t="shared" si="9"/>
        <v>0.43267108167770418</v>
      </c>
      <c r="H248">
        <f t="shared" si="10"/>
        <v>0.68528095278400003</v>
      </c>
      <c r="I248">
        <f t="shared" si="11"/>
        <v>0.50307841550776689</v>
      </c>
      <c r="J248" t="s">
        <v>890</v>
      </c>
      <c r="K248" t="s">
        <v>890</v>
      </c>
    </row>
    <row r="249" spans="1:11" x14ac:dyDescent="0.3">
      <c r="A249" t="s">
        <v>434</v>
      </c>
      <c r="B249" t="str">
        <f>IF(Calculator!$B$1="NL",Data!K249,Data!J249)</f>
        <v>GLOBE_21007A242</v>
      </c>
      <c r="C249">
        <v>320</v>
      </c>
      <c r="D249">
        <v>226</v>
      </c>
      <c r="E249">
        <v>40.697697929999997</v>
      </c>
      <c r="F249">
        <v>0.61842105263157898</v>
      </c>
      <c r="G249">
        <f t="shared" si="9"/>
        <v>0.70625000000000004</v>
      </c>
      <c r="H249">
        <f t="shared" si="10"/>
        <v>0.6976053118329999</v>
      </c>
      <c r="I249">
        <f t="shared" si="11"/>
        <v>0.63173489032484997</v>
      </c>
      <c r="J249" t="s">
        <v>891</v>
      </c>
      <c r="K249" t="s">
        <v>891</v>
      </c>
    </row>
    <row r="250" spans="1:11" x14ac:dyDescent="0.3">
      <c r="A250" t="s">
        <v>257</v>
      </c>
      <c r="B250" t="str">
        <f>IF(Calculator!$B$1="NL",Data!K250,Data!J250)</f>
        <v>GLOBE-EST_21016A00-</v>
      </c>
      <c r="C250">
        <v>2207</v>
      </c>
      <c r="D250">
        <v>1458</v>
      </c>
      <c r="E250">
        <v>37.65956173</v>
      </c>
      <c r="F250">
        <v>0.88403990024937651</v>
      </c>
      <c r="G250">
        <f t="shared" si="9"/>
        <v>0.66062528318985048</v>
      </c>
      <c r="H250">
        <f t="shared" si="10"/>
        <v>0.6122336846130001</v>
      </c>
      <c r="I250">
        <f t="shared" si="11"/>
        <v>0.60460800970635398</v>
      </c>
      <c r="J250" t="s">
        <v>892</v>
      </c>
      <c r="K250" t="s">
        <v>1465</v>
      </c>
    </row>
    <row r="251" spans="1:11" x14ac:dyDescent="0.3">
      <c r="A251" t="s">
        <v>298</v>
      </c>
      <c r="B251" t="str">
        <f>IF(Calculator!$B$1="NL",Data!K251,Data!J251)</f>
        <v>GLOBE-OUEST_21016A912</v>
      </c>
      <c r="C251">
        <v>555</v>
      </c>
      <c r="D251">
        <v>411</v>
      </c>
      <c r="E251">
        <v>40.91611176</v>
      </c>
      <c r="F251">
        <v>0.71578947368421053</v>
      </c>
      <c r="G251">
        <f t="shared" si="9"/>
        <v>0.74054054054054053</v>
      </c>
      <c r="H251">
        <f t="shared" si="10"/>
        <v>0.70374274045599994</v>
      </c>
      <c r="I251">
        <f t="shared" si="11"/>
        <v>0.64992747644844318</v>
      </c>
      <c r="J251" t="s">
        <v>893</v>
      </c>
      <c r="K251" t="s">
        <v>1466</v>
      </c>
    </row>
    <row r="252" spans="1:11" x14ac:dyDescent="0.3">
      <c r="A252" t="s">
        <v>61</v>
      </c>
      <c r="B252" t="str">
        <f>IF(Calculator!$B$1="NL",Data!K252,Data!J252)</f>
        <v>GOUJONS_21001B332</v>
      </c>
      <c r="C252">
        <v>508</v>
      </c>
      <c r="D252">
        <v>158</v>
      </c>
      <c r="E252">
        <v>37.168411280000001</v>
      </c>
      <c r="F252">
        <v>0.72180451127819545</v>
      </c>
      <c r="G252">
        <f t="shared" si="9"/>
        <v>0.3110236220472441</v>
      </c>
      <c r="H252">
        <f t="shared" si="10"/>
        <v>0.59843235696800012</v>
      </c>
      <c r="I252">
        <f t="shared" si="11"/>
        <v>0.40925519055685988</v>
      </c>
      <c r="J252" t="s">
        <v>894</v>
      </c>
      <c r="K252" t="s">
        <v>1467</v>
      </c>
    </row>
    <row r="253" spans="1:11" x14ac:dyDescent="0.3">
      <c r="A253" t="s">
        <v>123</v>
      </c>
      <c r="B253" t="str">
        <f>IF(Calculator!$B$1="NL",Data!K253,Data!J253)</f>
        <v>GRAND SABLON_21004A14-</v>
      </c>
      <c r="C253">
        <v>1269</v>
      </c>
      <c r="D253">
        <v>311</v>
      </c>
      <c r="E253">
        <v>31.953857859999999</v>
      </c>
      <c r="F253">
        <v>0.48549323017408119</v>
      </c>
      <c r="G253">
        <f t="shared" si="9"/>
        <v>0.24507486209613868</v>
      </c>
      <c r="H253">
        <f t="shared" si="10"/>
        <v>0.45190340586600003</v>
      </c>
      <c r="I253">
        <f t="shared" si="11"/>
        <v>0.31364022058296243</v>
      </c>
      <c r="J253" t="s">
        <v>895</v>
      </c>
      <c r="K253" t="s">
        <v>1468</v>
      </c>
    </row>
    <row r="254" spans="1:11" x14ac:dyDescent="0.3">
      <c r="A254" t="s">
        <v>531</v>
      </c>
      <c r="B254" t="str">
        <f>IF(Calculator!$B$1="NL",Data!K254,Data!J254)</f>
        <v>GRANDE RUE AU BOIS_21015A30-</v>
      </c>
      <c r="C254">
        <v>1626</v>
      </c>
      <c r="D254">
        <v>817</v>
      </c>
      <c r="E254">
        <v>33.831840819999996</v>
      </c>
      <c r="F254">
        <v>0.82020997375328086</v>
      </c>
      <c r="G254">
        <f t="shared" si="9"/>
        <v>0.50246002460024597</v>
      </c>
      <c r="H254">
        <f t="shared" si="10"/>
        <v>0.50467472704199978</v>
      </c>
      <c r="I254">
        <f t="shared" si="11"/>
        <v>0.45321063823901059</v>
      </c>
      <c r="J254" t="s">
        <v>896</v>
      </c>
      <c r="K254" t="s">
        <v>1469</v>
      </c>
    </row>
    <row r="255" spans="1:11" x14ac:dyDescent="0.3">
      <c r="A255" t="s">
        <v>115</v>
      </c>
      <c r="B255" t="str">
        <f>IF(Calculator!$B$1="NL",Data!K255,Data!J255)</f>
        <v>GRAND-PLACE_21004A001</v>
      </c>
      <c r="C255">
        <v>673</v>
      </c>
      <c r="D255">
        <v>123</v>
      </c>
      <c r="E255">
        <v>30.530154700000001</v>
      </c>
      <c r="F255">
        <v>0.54037267080745344</v>
      </c>
      <c r="G255">
        <f t="shared" si="9"/>
        <v>0.18276374442793461</v>
      </c>
      <c r="H255">
        <f t="shared" si="10"/>
        <v>0.41189734706999998</v>
      </c>
      <c r="I255">
        <f t="shared" si="11"/>
        <v>0.26759749117407056</v>
      </c>
      <c r="J255" t="s">
        <v>897</v>
      </c>
      <c r="K255" t="s">
        <v>1470</v>
      </c>
    </row>
    <row r="256" spans="1:11" x14ac:dyDescent="0.3">
      <c r="A256" t="s">
        <v>400</v>
      </c>
      <c r="B256" t="str">
        <f>IF(Calculator!$B$1="NL",Data!K256,Data!J256)</f>
        <v>GRAY (RUE)_21009A52-</v>
      </c>
      <c r="C256">
        <v>1812</v>
      </c>
      <c r="D256">
        <v>646</v>
      </c>
      <c r="E256">
        <v>31.32138823</v>
      </c>
      <c r="F256">
        <v>0.89852008456659616</v>
      </c>
      <c r="G256">
        <f t="shared" si="9"/>
        <v>0.35651214128035319</v>
      </c>
      <c r="H256">
        <f t="shared" si="10"/>
        <v>0.43413100926300002</v>
      </c>
      <c r="I256">
        <f t="shared" si="11"/>
        <v>0.37555549650809278</v>
      </c>
      <c r="J256" t="s">
        <v>898</v>
      </c>
      <c r="K256" t="s">
        <v>1471</v>
      </c>
    </row>
    <row r="257" spans="1:11" x14ac:dyDescent="0.3">
      <c r="A257" t="s">
        <v>263</v>
      </c>
      <c r="B257" t="str">
        <f>IF(Calculator!$B$1="NL",Data!K257,Data!J257)</f>
        <v>GROESELENBERG_21016A102</v>
      </c>
      <c r="C257">
        <v>917</v>
      </c>
      <c r="D257">
        <v>938</v>
      </c>
      <c r="E257">
        <v>49.32706546</v>
      </c>
      <c r="F257">
        <v>0.48431618569636142</v>
      </c>
      <c r="G257">
        <f t="shared" si="9"/>
        <v>1.0229007633587786</v>
      </c>
      <c r="H257">
        <f t="shared" si="10"/>
        <v>0.94009053942599996</v>
      </c>
      <c r="I257">
        <f t="shared" si="11"/>
        <v>0.88334608625315036</v>
      </c>
      <c r="J257" t="s">
        <v>899</v>
      </c>
      <c r="K257" t="s">
        <v>899</v>
      </c>
    </row>
    <row r="258" spans="1:11" x14ac:dyDescent="0.3">
      <c r="A258" t="s">
        <v>571</v>
      </c>
      <c r="B258" t="str">
        <f>IF(Calculator!$B$1="NL",Data!K258,Data!J258)</f>
        <v>GROOTVELD_21018A13-</v>
      </c>
      <c r="C258">
        <v>199</v>
      </c>
      <c r="D258">
        <v>147</v>
      </c>
      <c r="E258">
        <v>47.27602538</v>
      </c>
      <c r="F258">
        <v>0.78846153846153844</v>
      </c>
      <c r="G258">
        <f t="shared" ref="G258:G321" si="12">D258/C258</f>
        <v>0.7386934673366834</v>
      </c>
      <c r="H258">
        <f t="shared" si="10"/>
        <v>0.88245631317800011</v>
      </c>
      <c r="I258">
        <f t="shared" si="11"/>
        <v>0.72951740123160758</v>
      </c>
      <c r="J258" t="s">
        <v>900</v>
      </c>
      <c r="K258" t="s">
        <v>900</v>
      </c>
    </row>
    <row r="259" spans="1:11" x14ac:dyDescent="0.3">
      <c r="A259" t="s">
        <v>526</v>
      </c>
      <c r="B259" t="str">
        <f>IF(Calculator!$B$1="NL",Data!K259,Data!J259)</f>
        <v>GUIDO GEZELLE (RUE)_21015A21-</v>
      </c>
      <c r="C259">
        <v>754</v>
      </c>
      <c r="D259">
        <v>390</v>
      </c>
      <c r="E259">
        <v>39.064050639999998</v>
      </c>
      <c r="F259">
        <v>0.85989010989010994</v>
      </c>
      <c r="G259">
        <f t="shared" si="12"/>
        <v>0.51724137931034486</v>
      </c>
      <c r="H259">
        <f t="shared" ref="H259:H322" si="13">0.0281*E259-0.446</f>
        <v>0.65169982298400009</v>
      </c>
      <c r="I259">
        <f t="shared" ref="I259:I322" si="14">(G259+H259)/2*IF(F259&lt;85%,0.9,IF(F259&gt;100%,1,0.95))</f>
        <v>0.55524707108981386</v>
      </c>
      <c r="J259" t="s">
        <v>901</v>
      </c>
      <c r="K259" t="s">
        <v>1472</v>
      </c>
    </row>
    <row r="260" spans="1:11" x14ac:dyDescent="0.3">
      <c r="A260" t="s">
        <v>357</v>
      </c>
      <c r="B260" t="str">
        <f>IF(Calculator!$B$1="NL",Data!K260,Data!J260)</f>
        <v>GUILLAUME TELL-SUD_21013A121</v>
      </c>
      <c r="C260">
        <v>372</v>
      </c>
      <c r="D260">
        <v>107</v>
      </c>
      <c r="E260">
        <v>32.767634909999998</v>
      </c>
      <c r="F260">
        <v>0.91346153846153844</v>
      </c>
      <c r="G260">
        <f t="shared" si="12"/>
        <v>0.28763440860215056</v>
      </c>
      <c r="H260">
        <f t="shared" si="13"/>
        <v>0.47477054097099997</v>
      </c>
      <c r="I260">
        <f t="shared" si="14"/>
        <v>0.36214235104724646</v>
      </c>
      <c r="J260" t="s">
        <v>902</v>
      </c>
      <c r="K260" t="s">
        <v>1473</v>
      </c>
    </row>
    <row r="261" spans="1:11" x14ac:dyDescent="0.3">
      <c r="A261" t="s">
        <v>585</v>
      </c>
      <c r="B261" t="str">
        <f>IF(Calculator!$B$1="NL",Data!K261,Data!J261)</f>
        <v>GULLEDELLE_21018A3MJ</v>
      </c>
      <c r="C261">
        <v>2187</v>
      </c>
      <c r="D261">
        <v>1658</v>
      </c>
      <c r="E261">
        <v>39.819351560000001</v>
      </c>
      <c r="F261">
        <v>0.78239202657807305</v>
      </c>
      <c r="G261">
        <f t="shared" si="12"/>
        <v>0.75811614083219026</v>
      </c>
      <c r="H261">
        <f t="shared" si="13"/>
        <v>0.67292377883600007</v>
      </c>
      <c r="I261">
        <f t="shared" si="14"/>
        <v>0.64396796385068567</v>
      </c>
      <c r="J261" t="s">
        <v>903</v>
      </c>
      <c r="K261" t="s">
        <v>903</v>
      </c>
    </row>
    <row r="262" spans="1:11" x14ac:dyDescent="0.3">
      <c r="A262" t="s">
        <v>556</v>
      </c>
      <c r="B262" t="str">
        <f>IF(Calculator!$B$1="NL",Data!K262,Data!J262)</f>
        <v>H. EVENEPOEL (RUE)_21015A73-</v>
      </c>
      <c r="C262">
        <v>679</v>
      </c>
      <c r="D262">
        <v>478</v>
      </c>
      <c r="E262">
        <v>35.771564239999996</v>
      </c>
      <c r="F262">
        <v>0.84905660377358494</v>
      </c>
      <c r="G262">
        <f t="shared" si="12"/>
        <v>0.70397643593519887</v>
      </c>
      <c r="H262">
        <f t="shared" si="13"/>
        <v>0.5591809551439999</v>
      </c>
      <c r="I262">
        <f t="shared" si="14"/>
        <v>0.56842082598563948</v>
      </c>
      <c r="J262" t="s">
        <v>904</v>
      </c>
      <c r="K262" t="s">
        <v>1474</v>
      </c>
    </row>
    <row r="263" spans="1:11" x14ac:dyDescent="0.3">
      <c r="A263" t="s">
        <v>250</v>
      </c>
      <c r="B263" t="str">
        <f>IF(Calculator!$B$1="NL",Data!K263,Data!J263)</f>
        <v>HAECHT (CHAUSSEE DE)_21014A04-</v>
      </c>
      <c r="C263">
        <v>1440</v>
      </c>
      <c r="D263">
        <v>476</v>
      </c>
      <c r="E263">
        <v>28.245241020000002</v>
      </c>
      <c r="F263">
        <v>0.84750000000000003</v>
      </c>
      <c r="G263">
        <f t="shared" si="12"/>
        <v>0.33055555555555555</v>
      </c>
      <c r="H263">
        <f t="shared" si="13"/>
        <v>0.34769127266200001</v>
      </c>
      <c r="I263">
        <f t="shared" si="14"/>
        <v>0.30521107269789999</v>
      </c>
      <c r="J263" t="s">
        <v>905</v>
      </c>
      <c r="K263" t="s">
        <v>1475</v>
      </c>
    </row>
    <row r="264" spans="1:11" x14ac:dyDescent="0.3">
      <c r="A264" t="s">
        <v>265</v>
      </c>
      <c r="B264" t="str">
        <f>IF(Calculator!$B$1="NL",Data!K264,Data!J264)</f>
        <v>HAMOIR_21016A12-</v>
      </c>
      <c r="C264">
        <v>1222</v>
      </c>
      <c r="D264">
        <v>1130</v>
      </c>
      <c r="E264">
        <v>46.301907239999998</v>
      </c>
      <c r="F264">
        <v>0.56307692307692303</v>
      </c>
      <c r="G264">
        <f t="shared" si="12"/>
        <v>0.92471358428805239</v>
      </c>
      <c r="H264">
        <f t="shared" si="13"/>
        <v>0.85508359344399998</v>
      </c>
      <c r="I264">
        <f t="shared" si="14"/>
        <v>0.80090872997942364</v>
      </c>
      <c r="J264" t="s">
        <v>906</v>
      </c>
      <c r="K264" t="s">
        <v>906</v>
      </c>
    </row>
    <row r="265" spans="1:11" x14ac:dyDescent="0.3">
      <c r="A265" t="s">
        <v>201</v>
      </c>
      <c r="B265" t="str">
        <f>IF(Calculator!$B$1="NL",Data!K265,Data!J265)</f>
        <v>HAREN-EST_21004G321</v>
      </c>
      <c r="C265">
        <v>424</v>
      </c>
      <c r="D265">
        <v>388</v>
      </c>
      <c r="E265">
        <v>39.116399950000002</v>
      </c>
      <c r="F265">
        <v>0.70588235294117652</v>
      </c>
      <c r="G265">
        <f t="shared" si="12"/>
        <v>0.91509433962264153</v>
      </c>
      <c r="H265">
        <f t="shared" si="13"/>
        <v>0.65317083859500014</v>
      </c>
      <c r="I265">
        <f t="shared" si="14"/>
        <v>0.70571933019793887</v>
      </c>
      <c r="J265" t="s">
        <v>907</v>
      </c>
      <c r="K265" t="s">
        <v>1476</v>
      </c>
    </row>
    <row r="266" spans="1:11" x14ac:dyDescent="0.3">
      <c r="A266" t="s">
        <v>203</v>
      </c>
      <c r="B266" t="str">
        <f>IF(Calculator!$B$1="NL",Data!K266,Data!J266)</f>
        <v>HAREN-SUD_21004G3NJ</v>
      </c>
      <c r="C266">
        <v>334</v>
      </c>
      <c r="D266">
        <v>155</v>
      </c>
      <c r="E266">
        <v>46.654536319999998</v>
      </c>
      <c r="F266">
        <v>0.58064516129032262</v>
      </c>
      <c r="G266">
        <f t="shared" si="12"/>
        <v>0.46407185628742514</v>
      </c>
      <c r="H266">
        <f t="shared" si="13"/>
        <v>0.86499247059200002</v>
      </c>
      <c r="I266">
        <f t="shared" si="14"/>
        <v>0.59807894709574128</v>
      </c>
      <c r="J266" t="s">
        <v>908</v>
      </c>
      <c r="K266" t="s">
        <v>1477</v>
      </c>
    </row>
    <row r="267" spans="1:11" x14ac:dyDescent="0.3">
      <c r="A267" t="s">
        <v>200</v>
      </c>
      <c r="B267" t="str">
        <f>IF(Calculator!$B$1="NL",Data!K267,Data!J267)</f>
        <v>HAREN-SUD-OUEST_21004G310</v>
      </c>
      <c r="C267">
        <v>434</v>
      </c>
      <c r="D267">
        <v>396</v>
      </c>
      <c r="E267">
        <v>38.21942928</v>
      </c>
      <c r="F267">
        <v>0.67403314917127077</v>
      </c>
      <c r="G267">
        <f t="shared" si="12"/>
        <v>0.9124423963133641</v>
      </c>
      <c r="H267">
        <f t="shared" si="13"/>
        <v>0.6279659627680001</v>
      </c>
      <c r="I267">
        <f t="shared" si="14"/>
        <v>0.69318376158661388</v>
      </c>
      <c r="J267" t="s">
        <v>909</v>
      </c>
      <c r="K267" t="s">
        <v>1478</v>
      </c>
    </row>
    <row r="268" spans="1:11" x14ac:dyDescent="0.3">
      <c r="A268" t="s">
        <v>101</v>
      </c>
      <c r="B268" t="str">
        <f>IF(Calculator!$B$1="NL",Data!K268,Data!J268)</f>
        <v>HAUT-CHAMP_21003A03-</v>
      </c>
      <c r="C268">
        <v>746</v>
      </c>
      <c r="D268">
        <v>595</v>
      </c>
      <c r="E268">
        <v>38.531392359999998</v>
      </c>
      <c r="F268">
        <v>0.90604026845637586</v>
      </c>
      <c r="G268">
        <f t="shared" si="12"/>
        <v>0.7975871313672922</v>
      </c>
      <c r="H268">
        <f t="shared" si="13"/>
        <v>0.6367321253160001</v>
      </c>
      <c r="I268">
        <f t="shared" si="14"/>
        <v>0.68130164692456385</v>
      </c>
      <c r="J268" t="s">
        <v>910</v>
      </c>
      <c r="K268" t="s">
        <v>1479</v>
      </c>
    </row>
    <row r="269" spans="1:11" x14ac:dyDescent="0.3">
      <c r="A269" t="s">
        <v>467</v>
      </c>
      <c r="B269" t="str">
        <f>IF(Calculator!$B$1="NL",Data!K269,Data!J269)</f>
        <v>HAUT-EVERE_21006A201</v>
      </c>
      <c r="C269">
        <v>1095</v>
      </c>
      <c r="D269">
        <v>855</v>
      </c>
      <c r="E269">
        <v>37.858217150000002</v>
      </c>
      <c r="F269">
        <v>0.8045540796963947</v>
      </c>
      <c r="G269">
        <f t="shared" si="12"/>
        <v>0.78082191780821919</v>
      </c>
      <c r="H269">
        <f t="shared" si="13"/>
        <v>0.61781590191500002</v>
      </c>
      <c r="I269">
        <f t="shared" si="14"/>
        <v>0.62938701887544868</v>
      </c>
      <c r="J269" t="s">
        <v>911</v>
      </c>
      <c r="K269" t="s">
        <v>1480</v>
      </c>
    </row>
    <row r="270" spans="1:11" x14ac:dyDescent="0.3">
      <c r="A270" t="s">
        <v>429</v>
      </c>
      <c r="B270" t="str">
        <f>IF(Calculator!$B$1="NL",Data!K270,Data!J270)</f>
        <v>HAVESKERCKE_21007A12-</v>
      </c>
      <c r="C270">
        <v>159</v>
      </c>
      <c r="D270">
        <v>138</v>
      </c>
      <c r="E270">
        <v>45.799433550000003</v>
      </c>
      <c r="F270">
        <v>0.81944444444444442</v>
      </c>
      <c r="G270">
        <f t="shared" si="12"/>
        <v>0.86792452830188682</v>
      </c>
      <c r="H270">
        <f t="shared" si="13"/>
        <v>0.84096408275500023</v>
      </c>
      <c r="I270">
        <f t="shared" si="14"/>
        <v>0.76899987497559918</v>
      </c>
      <c r="J270" t="s">
        <v>912</v>
      </c>
      <c r="K270" t="s">
        <v>1481</v>
      </c>
    </row>
    <row r="271" spans="1:11" x14ac:dyDescent="0.3">
      <c r="A271" t="s">
        <v>344</v>
      </c>
      <c r="B271" t="str">
        <f>IF(Calculator!$B$1="NL",Data!K271,Data!J271)</f>
        <v>HEIDEKEN_21008A32-</v>
      </c>
      <c r="C271">
        <v>734</v>
      </c>
      <c r="D271">
        <v>457</v>
      </c>
      <c r="E271">
        <v>36.510436669999997</v>
      </c>
      <c r="F271">
        <v>0.93308550185873607</v>
      </c>
      <c r="G271">
        <f t="shared" si="12"/>
        <v>0.62261580381471393</v>
      </c>
      <c r="H271">
        <f t="shared" si="13"/>
        <v>0.579943270427</v>
      </c>
      <c r="I271">
        <f t="shared" si="14"/>
        <v>0.57121556026481413</v>
      </c>
      <c r="J271" t="s">
        <v>913</v>
      </c>
      <c r="K271" t="s">
        <v>913</v>
      </c>
    </row>
    <row r="272" spans="1:11" x14ac:dyDescent="0.3">
      <c r="A272" t="s">
        <v>630</v>
      </c>
      <c r="B272" t="str">
        <f>IF(Calculator!$B$1="NL",Data!K272,Data!J272)</f>
        <v>HELICE (AVENUE DE L')_21019A45-</v>
      </c>
      <c r="C272">
        <v>401</v>
      </c>
      <c r="D272">
        <v>439</v>
      </c>
      <c r="E272">
        <v>49.53375484</v>
      </c>
      <c r="F272">
        <v>0.57947686116700203</v>
      </c>
      <c r="G272">
        <f t="shared" si="12"/>
        <v>1.0947630922693268</v>
      </c>
      <c r="H272">
        <f t="shared" si="13"/>
        <v>0.94589851100400013</v>
      </c>
      <c r="I272">
        <f t="shared" si="14"/>
        <v>0.91829772147299715</v>
      </c>
      <c r="J272" t="s">
        <v>914</v>
      </c>
      <c r="K272" t="s">
        <v>1482</v>
      </c>
    </row>
    <row r="273" spans="1:11" x14ac:dyDescent="0.3">
      <c r="A273" t="s">
        <v>525</v>
      </c>
      <c r="B273" t="str">
        <f>IF(Calculator!$B$1="NL",Data!K273,Data!J273)</f>
        <v>HELMET_21015A20-</v>
      </c>
      <c r="C273">
        <v>2394</v>
      </c>
      <c r="D273">
        <v>1232</v>
      </c>
      <c r="E273">
        <v>39.267335410000001</v>
      </c>
      <c r="F273">
        <v>0.84188911704312119</v>
      </c>
      <c r="G273">
        <f t="shared" si="12"/>
        <v>0.51461988304093564</v>
      </c>
      <c r="H273">
        <f t="shared" si="13"/>
        <v>0.6574121250210001</v>
      </c>
      <c r="I273">
        <f t="shared" si="14"/>
        <v>0.52741440362787106</v>
      </c>
      <c r="J273" t="s">
        <v>915</v>
      </c>
      <c r="K273" t="s">
        <v>915</v>
      </c>
    </row>
    <row r="274" spans="1:11" x14ac:dyDescent="0.3">
      <c r="A274" t="s">
        <v>591</v>
      </c>
      <c r="B274" t="str">
        <f>IF(Calculator!$B$1="NL",Data!K274,Data!J274)</f>
        <v>HEYDENBERG-EST_21018A61-</v>
      </c>
      <c r="C274">
        <v>929</v>
      </c>
      <c r="D274">
        <v>663</v>
      </c>
      <c r="E274">
        <v>36.455286659999999</v>
      </c>
      <c r="F274">
        <v>0.88247011952191234</v>
      </c>
      <c r="G274">
        <f t="shared" si="12"/>
        <v>0.7136706135629709</v>
      </c>
      <c r="H274">
        <f t="shared" si="13"/>
        <v>0.57839355514599999</v>
      </c>
      <c r="I274">
        <f t="shared" si="14"/>
        <v>0.61373048013676113</v>
      </c>
      <c r="J274" t="s">
        <v>916</v>
      </c>
      <c r="K274" t="s">
        <v>1483</v>
      </c>
    </row>
    <row r="275" spans="1:11" x14ac:dyDescent="0.3">
      <c r="A275" t="s">
        <v>592</v>
      </c>
      <c r="B275" t="str">
        <f>IF(Calculator!$B$1="NL",Data!K275,Data!J275)</f>
        <v>HEYDENBERG-OUEST_21018A62-</v>
      </c>
      <c r="C275">
        <v>1754</v>
      </c>
      <c r="D275">
        <v>1300</v>
      </c>
      <c r="E275">
        <v>36.480502319999999</v>
      </c>
      <c r="F275">
        <v>0.94297635605006958</v>
      </c>
      <c r="G275">
        <f t="shared" si="12"/>
        <v>0.74116305587229192</v>
      </c>
      <c r="H275">
        <f t="shared" si="13"/>
        <v>0.57910211519199994</v>
      </c>
      <c r="I275">
        <f t="shared" si="14"/>
        <v>0.62712595625553857</v>
      </c>
      <c r="J275" t="s">
        <v>917</v>
      </c>
      <c r="K275" t="s">
        <v>1484</v>
      </c>
    </row>
    <row r="276" spans="1:11" x14ac:dyDescent="0.3">
      <c r="A276" t="s">
        <v>506</v>
      </c>
      <c r="B276" t="str">
        <f>IF(Calculator!$B$1="NL",Data!K276,Data!J276)</f>
        <v>HEYMBOSCH_21010A111</v>
      </c>
      <c r="C276">
        <v>1463</v>
      </c>
      <c r="D276">
        <v>1026</v>
      </c>
      <c r="E276">
        <v>40.516119609999997</v>
      </c>
      <c r="F276">
        <v>0.53101736972704716</v>
      </c>
      <c r="G276">
        <f t="shared" si="12"/>
        <v>0.70129870129870131</v>
      </c>
      <c r="H276">
        <f t="shared" si="13"/>
        <v>0.69250296104100006</v>
      </c>
      <c r="I276">
        <f t="shared" si="14"/>
        <v>0.62721074805286559</v>
      </c>
      <c r="J276" t="s">
        <v>918</v>
      </c>
      <c r="K276" t="s">
        <v>918</v>
      </c>
    </row>
    <row r="277" spans="1:11" x14ac:dyDescent="0.3">
      <c r="A277" t="s">
        <v>583</v>
      </c>
      <c r="B277" t="str">
        <f>IF(Calculator!$B$1="NL",Data!K277,Data!J277)</f>
        <v>HOF TEN BERG-NORD_21018A35-</v>
      </c>
      <c r="C277">
        <v>454</v>
      </c>
      <c r="D277">
        <v>307</v>
      </c>
      <c r="E277">
        <v>41.991390539999998</v>
      </c>
      <c r="F277">
        <v>0.62256809338521402</v>
      </c>
      <c r="G277">
        <f t="shared" si="12"/>
        <v>0.67621145374449343</v>
      </c>
      <c r="H277">
        <f t="shared" si="13"/>
        <v>0.73395807417399994</v>
      </c>
      <c r="I277">
        <f t="shared" si="14"/>
        <v>0.63457628756332207</v>
      </c>
      <c r="J277" t="s">
        <v>919</v>
      </c>
      <c r="K277" t="s">
        <v>1485</v>
      </c>
    </row>
    <row r="278" spans="1:11" x14ac:dyDescent="0.3">
      <c r="A278" t="s">
        <v>582</v>
      </c>
      <c r="B278" t="str">
        <f>IF(Calculator!$B$1="NL",Data!K278,Data!J278)</f>
        <v>HOF TEN BERG-SUD_21018A34-</v>
      </c>
      <c r="C278">
        <v>480</v>
      </c>
      <c r="D278">
        <v>490</v>
      </c>
      <c r="E278">
        <v>38.362494380000001</v>
      </c>
      <c r="F278">
        <v>0.63470319634703198</v>
      </c>
      <c r="G278">
        <f t="shared" si="12"/>
        <v>1.0208333333333333</v>
      </c>
      <c r="H278">
        <f t="shared" si="13"/>
        <v>0.63198609207800005</v>
      </c>
      <c r="I278">
        <f t="shared" si="14"/>
        <v>0.74376874143509997</v>
      </c>
      <c r="J278" t="s">
        <v>920</v>
      </c>
      <c r="K278" t="s">
        <v>1486</v>
      </c>
    </row>
    <row r="279" spans="1:11" x14ac:dyDescent="0.3">
      <c r="A279" t="s">
        <v>113</v>
      </c>
      <c r="B279" t="str">
        <f>IF(Calculator!$B$1="NL",Data!K279,Data!J279)</f>
        <v>HOGENBOS_21003A342</v>
      </c>
      <c r="C279">
        <v>499</v>
      </c>
      <c r="D279">
        <v>451</v>
      </c>
      <c r="E279">
        <v>42.630378819999997</v>
      </c>
      <c r="F279">
        <v>0.60854092526690395</v>
      </c>
      <c r="G279">
        <f t="shared" si="12"/>
        <v>0.90380761523046094</v>
      </c>
      <c r="H279">
        <f t="shared" si="13"/>
        <v>0.75191364484200007</v>
      </c>
      <c r="I279">
        <f t="shared" si="14"/>
        <v>0.74507456703260755</v>
      </c>
      <c r="J279" t="s">
        <v>921</v>
      </c>
      <c r="K279" t="s">
        <v>921</v>
      </c>
    </row>
    <row r="280" spans="1:11" x14ac:dyDescent="0.3">
      <c r="A280" t="s">
        <v>283</v>
      </c>
      <c r="B280" t="str">
        <f>IF(Calculator!$B$1="NL",Data!K280,Data!J280)</f>
        <v>HOMBORCH_21016A639</v>
      </c>
      <c r="C280">
        <v>1065</v>
      </c>
      <c r="D280">
        <v>758</v>
      </c>
      <c r="E280">
        <v>52.211783599999997</v>
      </c>
      <c r="F280">
        <v>0.38404907975460117</v>
      </c>
      <c r="G280">
        <f t="shared" si="12"/>
        <v>0.71173708920187795</v>
      </c>
      <c r="H280">
        <f t="shared" si="13"/>
        <v>1.02115111916</v>
      </c>
      <c r="I280">
        <f t="shared" si="14"/>
        <v>0.77979969376284508</v>
      </c>
      <c r="J280" t="s">
        <v>922</v>
      </c>
      <c r="K280" t="s">
        <v>922</v>
      </c>
    </row>
    <row r="281" spans="1:11" x14ac:dyDescent="0.3">
      <c r="A281" t="s">
        <v>468</v>
      </c>
      <c r="B281" t="str">
        <f>IF(Calculator!$B$1="NL",Data!K281,Data!J281)</f>
        <v>HOME FAMILIAL BRABANT_21006A21-</v>
      </c>
      <c r="C281">
        <v>435</v>
      </c>
      <c r="D281">
        <v>279</v>
      </c>
      <c r="E281">
        <v>38.611924500000001</v>
      </c>
      <c r="F281">
        <v>0.5386221294363257</v>
      </c>
      <c r="G281">
        <f t="shared" si="12"/>
        <v>0.64137931034482754</v>
      </c>
      <c r="H281">
        <f t="shared" si="13"/>
        <v>0.63899507845000003</v>
      </c>
      <c r="I281">
        <f t="shared" si="14"/>
        <v>0.57616847495767243</v>
      </c>
      <c r="J281" t="s">
        <v>923</v>
      </c>
      <c r="K281" t="s">
        <v>1487</v>
      </c>
    </row>
    <row r="282" spans="1:11" x14ac:dyDescent="0.3">
      <c r="A282" t="s">
        <v>105</v>
      </c>
      <c r="B282" t="str">
        <f>IF(Calculator!$B$1="NL",Data!K282,Data!J282)</f>
        <v>HOPITAL FRANCAIS_21003A10-</v>
      </c>
      <c r="C282">
        <v>1393</v>
      </c>
      <c r="D282">
        <v>912</v>
      </c>
      <c r="E282">
        <v>34.358044759999999</v>
      </c>
      <c r="F282">
        <v>0.89432485322896282</v>
      </c>
      <c r="G282">
        <f t="shared" si="12"/>
        <v>0.65470208183776024</v>
      </c>
      <c r="H282">
        <f t="shared" si="13"/>
        <v>0.51946105775599993</v>
      </c>
      <c r="I282">
        <f t="shared" si="14"/>
        <v>0.55772749130703603</v>
      </c>
      <c r="J282" t="s">
        <v>924</v>
      </c>
      <c r="K282" t="s">
        <v>1488</v>
      </c>
    </row>
    <row r="283" spans="1:11" x14ac:dyDescent="0.3">
      <c r="A283" t="s">
        <v>530</v>
      </c>
      <c r="B283" t="str">
        <f>IF(Calculator!$B$1="NL",Data!K283,Data!J283)</f>
        <v>HOPITAL P. BRIEN_21015A272</v>
      </c>
      <c r="C283">
        <v>153</v>
      </c>
      <c r="D283">
        <v>83</v>
      </c>
      <c r="E283">
        <v>34.524831640000002</v>
      </c>
      <c r="F283">
        <v>1.0909090909090911</v>
      </c>
      <c r="G283">
        <f t="shared" si="12"/>
        <v>0.54248366013071891</v>
      </c>
      <c r="H283">
        <f t="shared" si="13"/>
        <v>0.52414776908399996</v>
      </c>
      <c r="I283">
        <f t="shared" si="14"/>
        <v>0.53331571460735949</v>
      </c>
      <c r="J283" t="s">
        <v>925</v>
      </c>
      <c r="K283" t="s">
        <v>1489</v>
      </c>
    </row>
    <row r="284" spans="1:11" x14ac:dyDescent="0.3">
      <c r="A284" t="s">
        <v>65</v>
      </c>
      <c r="B284" t="str">
        <f>IF(Calculator!$B$1="NL",Data!K284,Data!J284)</f>
        <v>HOPITAL U.L.B._21001C522</v>
      </c>
      <c r="C284">
        <v>251</v>
      </c>
      <c r="D284">
        <v>15</v>
      </c>
      <c r="E284">
        <v>38.773557699999998</v>
      </c>
      <c r="F284">
        <v>8.7096774193548387E-2</v>
      </c>
      <c r="G284">
        <f t="shared" si="12"/>
        <v>5.9760956175298807E-2</v>
      </c>
      <c r="H284">
        <f t="shared" si="13"/>
        <v>0.64353697136999988</v>
      </c>
      <c r="I284">
        <f t="shared" si="14"/>
        <v>0.31648406739538437</v>
      </c>
      <c r="J284" t="s">
        <v>926</v>
      </c>
      <c r="K284" t="s">
        <v>1490</v>
      </c>
    </row>
    <row r="285" spans="1:11" x14ac:dyDescent="0.3">
      <c r="A285" t="s">
        <v>408</v>
      </c>
      <c r="B285" t="str">
        <f>IF(Calculator!$B$1="NL",Data!K285,Data!J285)</f>
        <v>HOPITAUX_21009A652</v>
      </c>
      <c r="C285">
        <v>1511</v>
      </c>
      <c r="D285">
        <v>536</v>
      </c>
      <c r="E285">
        <v>35.884320000000002</v>
      </c>
      <c r="F285">
        <v>0.88530465949820791</v>
      </c>
      <c r="G285">
        <f t="shared" si="12"/>
        <v>0.35473196558570486</v>
      </c>
      <c r="H285">
        <f t="shared" si="13"/>
        <v>0.56234939200000023</v>
      </c>
      <c r="I285">
        <f t="shared" si="14"/>
        <v>0.43561364485320991</v>
      </c>
      <c r="J285" t="s">
        <v>927</v>
      </c>
      <c r="K285" t="s">
        <v>1491</v>
      </c>
    </row>
    <row r="286" spans="1:11" x14ac:dyDescent="0.3">
      <c r="A286" t="s">
        <v>624</v>
      </c>
      <c r="B286" t="str">
        <f>IF(Calculator!$B$1="NL",Data!K286,Data!J286)</f>
        <v>HORIZON (AVENUE)_21019A35-</v>
      </c>
      <c r="C286">
        <v>698</v>
      </c>
      <c r="D286">
        <v>643</v>
      </c>
      <c r="E286">
        <v>44.74705994</v>
      </c>
      <c r="F286">
        <v>0.74696356275303644</v>
      </c>
      <c r="G286">
        <f t="shared" si="12"/>
        <v>0.92120343839541552</v>
      </c>
      <c r="H286">
        <f t="shared" si="13"/>
        <v>0.81139238431400007</v>
      </c>
      <c r="I286">
        <f t="shared" si="14"/>
        <v>0.77966812021923704</v>
      </c>
      <c r="J286" t="s">
        <v>928</v>
      </c>
      <c r="K286" t="s">
        <v>1492</v>
      </c>
    </row>
    <row r="287" spans="1:11" x14ac:dyDescent="0.3">
      <c r="A287" t="s">
        <v>480</v>
      </c>
      <c r="B287" t="str">
        <f>IF(Calculator!$B$1="NL",Data!K287,Data!J287)</f>
        <v>HOTEL COMMUNAL_21005A00-</v>
      </c>
      <c r="C287">
        <v>2423</v>
      </c>
      <c r="D287">
        <v>906</v>
      </c>
      <c r="E287">
        <v>34.275196129999998</v>
      </c>
      <c r="F287">
        <v>0.78374999999999995</v>
      </c>
      <c r="G287">
        <f t="shared" si="12"/>
        <v>0.37391663227404043</v>
      </c>
      <c r="H287">
        <f t="shared" si="13"/>
        <v>0.51713301125299993</v>
      </c>
      <c r="I287">
        <f t="shared" si="14"/>
        <v>0.40097233958716816</v>
      </c>
      <c r="J287" t="s">
        <v>929</v>
      </c>
      <c r="K287" t="s">
        <v>1493</v>
      </c>
    </row>
    <row r="288" spans="1:11" x14ac:dyDescent="0.3">
      <c r="A288" t="s">
        <v>348</v>
      </c>
      <c r="B288" t="str">
        <f>IF(Calculator!$B$1="NL",Data!K288,Data!J288)</f>
        <v>HOTEL DE VILLE_21013A00-</v>
      </c>
      <c r="C288">
        <v>1819</v>
      </c>
      <c r="D288">
        <v>606</v>
      </c>
      <c r="E288">
        <v>29.269508569999999</v>
      </c>
      <c r="F288">
        <v>0.79631901840490793</v>
      </c>
      <c r="G288">
        <f t="shared" si="12"/>
        <v>0.33315008246289168</v>
      </c>
      <c r="H288">
        <f t="shared" si="13"/>
        <v>0.37647319081699998</v>
      </c>
      <c r="I288">
        <f t="shared" si="14"/>
        <v>0.3193304729759513</v>
      </c>
      <c r="J288" t="s">
        <v>930</v>
      </c>
      <c r="K288" t="s">
        <v>1494</v>
      </c>
    </row>
    <row r="289" spans="1:11" x14ac:dyDescent="0.3">
      <c r="A289" t="s">
        <v>515</v>
      </c>
      <c r="B289" t="str">
        <f>IF(Calculator!$B$1="NL",Data!K289,Data!J289)</f>
        <v>HOUFFALIZE (PLACE)_21015A021</v>
      </c>
      <c r="C289">
        <v>1299</v>
      </c>
      <c r="D289">
        <v>619</v>
      </c>
      <c r="E289">
        <v>33.73289012</v>
      </c>
      <c r="F289">
        <v>0.85493230174081236</v>
      </c>
      <c r="G289">
        <f t="shared" si="12"/>
        <v>0.47652040030792919</v>
      </c>
      <c r="H289">
        <f t="shared" si="13"/>
        <v>0.50189421237200005</v>
      </c>
      <c r="I289">
        <f t="shared" si="14"/>
        <v>0.46474694102296638</v>
      </c>
      <c r="J289" t="s">
        <v>931</v>
      </c>
      <c r="K289" t="s">
        <v>1495</v>
      </c>
    </row>
    <row r="290" spans="1:11" x14ac:dyDescent="0.3">
      <c r="A290" t="s">
        <v>251</v>
      </c>
      <c r="B290" t="str">
        <f>IF(Calculator!$B$1="NL",Data!K290,Data!J290)</f>
        <v>HOUWAERT_21014A05-</v>
      </c>
      <c r="C290">
        <v>3457</v>
      </c>
      <c r="D290">
        <v>1136</v>
      </c>
      <c r="E290">
        <v>31.51859327</v>
      </c>
      <c r="F290">
        <v>0.85847797062750331</v>
      </c>
      <c r="G290">
        <f t="shared" si="12"/>
        <v>0.32860862019091697</v>
      </c>
      <c r="H290">
        <f t="shared" si="13"/>
        <v>0.43967247088699996</v>
      </c>
      <c r="I290">
        <f t="shared" si="14"/>
        <v>0.36493351826201054</v>
      </c>
      <c r="J290" t="s">
        <v>932</v>
      </c>
      <c r="K290" t="s">
        <v>932</v>
      </c>
    </row>
    <row r="291" spans="1:11" x14ac:dyDescent="0.3">
      <c r="A291" t="s">
        <v>521</v>
      </c>
      <c r="B291" t="str">
        <f>IF(Calculator!$B$1="NL",Data!K291,Data!J291)</f>
        <v>HUART HAMOIR (AVENUE)_21015A12-</v>
      </c>
      <c r="C291">
        <v>1075</v>
      </c>
      <c r="D291">
        <v>602</v>
      </c>
      <c r="E291">
        <v>37.841456219999998</v>
      </c>
      <c r="F291">
        <v>0.92488954344624452</v>
      </c>
      <c r="G291">
        <f t="shared" si="12"/>
        <v>0.56000000000000005</v>
      </c>
      <c r="H291">
        <f t="shared" si="13"/>
        <v>0.61734491978200001</v>
      </c>
      <c r="I291">
        <f t="shared" si="14"/>
        <v>0.55923883689645004</v>
      </c>
      <c r="J291" t="s">
        <v>933</v>
      </c>
      <c r="K291" t="s">
        <v>1496</v>
      </c>
    </row>
    <row r="292" spans="1:11" x14ac:dyDescent="0.3">
      <c r="A292" t="s">
        <v>104</v>
      </c>
      <c r="B292" t="str">
        <f>IF(Calculator!$B$1="NL",Data!K292,Data!J292)</f>
        <v>HUNDERENVELD_21003A0AJ</v>
      </c>
      <c r="C292">
        <v>404</v>
      </c>
      <c r="D292">
        <v>199</v>
      </c>
      <c r="E292">
        <v>40.514106380000001</v>
      </c>
      <c r="F292">
        <v>0.4044943820224719</v>
      </c>
      <c r="G292">
        <f t="shared" si="12"/>
        <v>0.49257425742574257</v>
      </c>
      <c r="H292">
        <f t="shared" si="13"/>
        <v>0.69244638927800017</v>
      </c>
      <c r="I292">
        <f t="shared" si="14"/>
        <v>0.53325929101668423</v>
      </c>
      <c r="J292" t="s">
        <v>934</v>
      </c>
      <c r="K292" t="s">
        <v>934</v>
      </c>
    </row>
    <row r="293" spans="1:11" x14ac:dyDescent="0.3">
      <c r="A293" t="s">
        <v>455</v>
      </c>
      <c r="B293" t="str">
        <f>IF(Calculator!$B$1="NL",Data!K293,Data!J293)</f>
        <v>IEDER ZIJN HUIS - STROOBANTS_21006A02-</v>
      </c>
      <c r="C293">
        <v>343</v>
      </c>
      <c r="D293">
        <v>119</v>
      </c>
      <c r="E293">
        <v>41.956034039999999</v>
      </c>
      <c r="F293">
        <v>0.73394495412844041</v>
      </c>
      <c r="G293">
        <f t="shared" si="12"/>
        <v>0.34693877551020408</v>
      </c>
      <c r="H293">
        <f t="shared" si="13"/>
        <v>0.73296455652399994</v>
      </c>
      <c r="I293">
        <f t="shared" si="14"/>
        <v>0.48595649941539182</v>
      </c>
      <c r="J293" t="s">
        <v>935</v>
      </c>
      <c r="K293" t="s">
        <v>935</v>
      </c>
    </row>
    <row r="294" spans="1:11" x14ac:dyDescent="0.3">
      <c r="A294" t="s">
        <v>471</v>
      </c>
      <c r="B294" t="str">
        <f>IF(Calculator!$B$1="NL",Data!K294,Data!J294)</f>
        <v>IEDER ZIJN HUIS - ZAVENTEM_21006A24-</v>
      </c>
      <c r="C294">
        <v>225</v>
      </c>
      <c r="D294">
        <v>120</v>
      </c>
      <c r="E294">
        <v>38.905714830000001</v>
      </c>
      <c r="F294">
        <v>0.78832116788321172</v>
      </c>
      <c r="G294">
        <f t="shared" si="12"/>
        <v>0.53333333333333333</v>
      </c>
      <c r="H294">
        <f t="shared" si="13"/>
        <v>0.64725058672300007</v>
      </c>
      <c r="I294">
        <f t="shared" si="14"/>
        <v>0.53126276402535</v>
      </c>
      <c r="J294" t="s">
        <v>936</v>
      </c>
      <c r="K294" t="s">
        <v>936</v>
      </c>
    </row>
    <row r="295" spans="1:11" x14ac:dyDescent="0.3">
      <c r="A295" t="s">
        <v>214</v>
      </c>
      <c r="B295" t="str">
        <f>IF(Calculator!$B$1="NL",Data!K295,Data!J295)</f>
        <v>INDEPENDANCE_21012A141</v>
      </c>
      <c r="C295">
        <v>974</v>
      </c>
      <c r="D295">
        <v>438</v>
      </c>
      <c r="E295">
        <v>31.60616108</v>
      </c>
      <c r="F295">
        <v>0.94848484848484849</v>
      </c>
      <c r="G295">
        <f t="shared" si="12"/>
        <v>0.44969199178644764</v>
      </c>
      <c r="H295">
        <f t="shared" si="13"/>
        <v>0.44213312634800001</v>
      </c>
      <c r="I295">
        <f t="shared" si="14"/>
        <v>0.42361693111386262</v>
      </c>
      <c r="J295" t="s">
        <v>937</v>
      </c>
      <c r="K295" t="s">
        <v>1497</v>
      </c>
    </row>
    <row r="296" spans="1:11" x14ac:dyDescent="0.3">
      <c r="A296" t="s">
        <v>211</v>
      </c>
      <c r="B296" t="str">
        <f>IF(Calculator!$B$1="NL",Data!K296,Data!J296)</f>
        <v>INDUSTRIE_21012A11-</v>
      </c>
      <c r="C296">
        <v>633</v>
      </c>
      <c r="D296">
        <v>293</v>
      </c>
      <c r="E296">
        <v>35.51160316</v>
      </c>
      <c r="F296">
        <v>0.81176470588235294</v>
      </c>
      <c r="G296">
        <f t="shared" si="12"/>
        <v>0.46287519747235389</v>
      </c>
      <c r="H296">
        <f t="shared" si="13"/>
        <v>0.55187604879599994</v>
      </c>
      <c r="I296">
        <f t="shared" si="14"/>
        <v>0.45663806082075925</v>
      </c>
      <c r="J296" t="s">
        <v>938</v>
      </c>
      <c r="K296" t="s">
        <v>938</v>
      </c>
    </row>
    <row r="297" spans="1:11" x14ac:dyDescent="0.3">
      <c r="A297" t="s">
        <v>95</v>
      </c>
      <c r="B297" t="str">
        <f>IF(Calculator!$B$1="NL",Data!K297,Data!J297)</f>
        <v>INVALIDES (BOULEVARD DES)_21002A511</v>
      </c>
      <c r="C297">
        <v>1270</v>
      </c>
      <c r="D297">
        <v>929</v>
      </c>
      <c r="E297">
        <v>35.104151010000002</v>
      </c>
      <c r="F297">
        <v>0.69043478260869562</v>
      </c>
      <c r="G297">
        <f t="shared" si="12"/>
        <v>0.73149606299212599</v>
      </c>
      <c r="H297">
        <f t="shared" si="13"/>
        <v>0.5404266433810001</v>
      </c>
      <c r="I297">
        <f t="shared" si="14"/>
        <v>0.57236521786790684</v>
      </c>
      <c r="J297" t="s">
        <v>939</v>
      </c>
      <c r="K297" t="s">
        <v>1498</v>
      </c>
    </row>
    <row r="298" spans="1:11" x14ac:dyDescent="0.3">
      <c r="A298" t="s">
        <v>528</v>
      </c>
      <c r="B298" t="str">
        <f>IF(Calculator!$B$1="NL",Data!K298,Data!J298)</f>
        <v>J. BLOCKX (RUE)_21015A231</v>
      </c>
      <c r="C298">
        <v>690</v>
      </c>
      <c r="D298">
        <v>368</v>
      </c>
      <c r="E298">
        <v>33.623221770000001</v>
      </c>
      <c r="F298">
        <v>0.97297297297297303</v>
      </c>
      <c r="G298">
        <f t="shared" si="12"/>
        <v>0.53333333333333333</v>
      </c>
      <c r="H298">
        <f t="shared" si="13"/>
        <v>0.49881253173699996</v>
      </c>
      <c r="I298">
        <f t="shared" si="14"/>
        <v>0.49026928590840824</v>
      </c>
      <c r="J298" t="s">
        <v>940</v>
      </c>
      <c r="K298" t="s">
        <v>1499</v>
      </c>
    </row>
    <row r="299" spans="1:11" x14ac:dyDescent="0.3">
      <c r="A299" t="s">
        <v>474</v>
      </c>
      <c r="B299" t="str">
        <f>IF(Calculator!$B$1="NL",Data!K299,Data!J299)</f>
        <v>J. BORDET (AVENUE DE)_21006A312</v>
      </c>
      <c r="C299">
        <v>420</v>
      </c>
      <c r="D299">
        <v>228</v>
      </c>
      <c r="E299">
        <v>35.972813600000002</v>
      </c>
      <c r="F299">
        <v>0.57216494845360821</v>
      </c>
      <c r="G299">
        <f t="shared" si="12"/>
        <v>0.54285714285714282</v>
      </c>
      <c r="H299">
        <f t="shared" si="13"/>
        <v>0.56483606216000015</v>
      </c>
      <c r="I299">
        <f t="shared" si="14"/>
        <v>0.4984619422577144</v>
      </c>
      <c r="J299" t="s">
        <v>941</v>
      </c>
      <c r="K299" t="s">
        <v>1500</v>
      </c>
    </row>
    <row r="300" spans="1:11" x14ac:dyDescent="0.3">
      <c r="A300" t="s">
        <v>124</v>
      </c>
      <c r="B300" t="str">
        <f>IF(Calculator!$B$1="NL",Data!K300,Data!J300)</f>
        <v>JACOBS (PLACE)_21004A15-</v>
      </c>
      <c r="C300">
        <v>415</v>
      </c>
      <c r="D300">
        <v>118</v>
      </c>
      <c r="E300">
        <v>29.501070940000002</v>
      </c>
      <c r="F300">
        <v>0.528052805280528</v>
      </c>
      <c r="G300">
        <f t="shared" si="12"/>
        <v>0.28433734939759037</v>
      </c>
      <c r="H300">
        <f t="shared" si="13"/>
        <v>0.38298009341400002</v>
      </c>
      <c r="I300">
        <f t="shared" si="14"/>
        <v>0.30029284926521571</v>
      </c>
      <c r="J300" t="s">
        <v>942</v>
      </c>
      <c r="K300" t="s">
        <v>1501</v>
      </c>
    </row>
    <row r="301" spans="1:11" x14ac:dyDescent="0.3">
      <c r="A301" t="s">
        <v>327</v>
      </c>
      <c r="B301" t="str">
        <f>IF(Calculator!$B$1="NL",Data!K301,Data!J301)</f>
        <v>JACQUET (RUE DE)_21011A02-</v>
      </c>
      <c r="C301">
        <v>781</v>
      </c>
      <c r="D301">
        <v>330</v>
      </c>
      <c r="E301">
        <v>29.124043140000001</v>
      </c>
      <c r="F301">
        <v>0.91901408450704225</v>
      </c>
      <c r="G301">
        <f t="shared" si="12"/>
        <v>0.42253521126760563</v>
      </c>
      <c r="H301">
        <f t="shared" si="13"/>
        <v>0.37238561223400007</v>
      </c>
      <c r="I301">
        <f t="shared" si="14"/>
        <v>0.37758739116326268</v>
      </c>
      <c r="J301" t="s">
        <v>943</v>
      </c>
      <c r="K301" t="s">
        <v>1502</v>
      </c>
    </row>
    <row r="302" spans="1:11" x14ac:dyDescent="0.3">
      <c r="A302" t="s">
        <v>46</v>
      </c>
      <c r="B302" t="str">
        <f>IF(Calculator!$B$1="NL",Data!K302,Data!J302)</f>
        <v>JAKOB SMITS_21001A92-</v>
      </c>
      <c r="C302">
        <v>1413</v>
      </c>
      <c r="D302">
        <v>960</v>
      </c>
      <c r="E302">
        <v>39.44492193</v>
      </c>
      <c r="F302">
        <v>0.91916558018252936</v>
      </c>
      <c r="G302">
        <f t="shared" si="12"/>
        <v>0.67940552016985134</v>
      </c>
      <c r="H302">
        <f t="shared" si="13"/>
        <v>0.662402306233</v>
      </c>
      <c r="I302">
        <f t="shared" si="14"/>
        <v>0.63735871754135431</v>
      </c>
      <c r="J302" t="s">
        <v>944</v>
      </c>
      <c r="K302" t="s">
        <v>944</v>
      </c>
    </row>
    <row r="303" spans="1:11" x14ac:dyDescent="0.3">
      <c r="A303" t="s">
        <v>371</v>
      </c>
      <c r="B303" t="str">
        <f>IF(Calculator!$B$1="NL",Data!K303,Data!J303)</f>
        <v>JAMAR_21013A612</v>
      </c>
      <c r="C303">
        <v>238</v>
      </c>
      <c r="D303">
        <v>74</v>
      </c>
      <c r="E303">
        <v>26.71177226</v>
      </c>
      <c r="F303">
        <v>0.18103448275862069</v>
      </c>
      <c r="G303">
        <f t="shared" si="12"/>
        <v>0.31092436974789917</v>
      </c>
      <c r="H303">
        <f t="shared" si="13"/>
        <v>0.30460080050599997</v>
      </c>
      <c r="I303">
        <f t="shared" si="14"/>
        <v>0.2769863266142546</v>
      </c>
      <c r="J303" t="s">
        <v>945</v>
      </c>
      <c r="K303" t="s">
        <v>945</v>
      </c>
    </row>
    <row r="304" spans="1:11" x14ac:dyDescent="0.3">
      <c r="A304" t="s">
        <v>554</v>
      </c>
      <c r="B304" t="str">
        <f>IF(Calculator!$B$1="NL",Data!K304,Data!J304)</f>
        <v>JARDINS_21015A71-</v>
      </c>
      <c r="C304">
        <v>717</v>
      </c>
      <c r="D304">
        <v>504</v>
      </c>
      <c r="E304">
        <v>39.150368299999997</v>
      </c>
      <c r="F304">
        <v>0.75163398692810457</v>
      </c>
      <c r="G304">
        <f t="shared" si="12"/>
        <v>0.70292887029288698</v>
      </c>
      <c r="H304">
        <f t="shared" si="13"/>
        <v>0.65412534922999988</v>
      </c>
      <c r="I304">
        <f t="shared" si="14"/>
        <v>0.61067439878529906</v>
      </c>
      <c r="J304" t="s">
        <v>946</v>
      </c>
      <c r="K304" t="s">
        <v>1503</v>
      </c>
    </row>
    <row r="305" spans="1:11" x14ac:dyDescent="0.3">
      <c r="A305" t="s">
        <v>536</v>
      </c>
      <c r="B305" t="str">
        <f>IF(Calculator!$B$1="NL",Data!K305,Data!J305)</f>
        <v>JEAN STOBBAERTS (AVENUE)_21015A35-</v>
      </c>
      <c r="C305">
        <v>964</v>
      </c>
      <c r="D305">
        <v>546</v>
      </c>
      <c r="E305">
        <v>34.596189000000003</v>
      </c>
      <c r="F305">
        <v>0.88295687885010266</v>
      </c>
      <c r="G305">
        <f t="shared" si="12"/>
        <v>0.56639004149377592</v>
      </c>
      <c r="H305">
        <f t="shared" si="13"/>
        <v>0.52615291090000005</v>
      </c>
      <c r="I305">
        <f t="shared" si="14"/>
        <v>0.51895790238704353</v>
      </c>
      <c r="J305" t="s">
        <v>947</v>
      </c>
      <c r="K305" t="s">
        <v>1504</v>
      </c>
    </row>
    <row r="306" spans="1:11" x14ac:dyDescent="0.3">
      <c r="A306" t="s">
        <v>516</v>
      </c>
      <c r="B306" t="str">
        <f>IF(Calculator!$B$1="NL",Data!K306,Data!J306)</f>
        <v>JOSAPHAT (RUE)_21015A03-</v>
      </c>
      <c r="C306">
        <v>2090</v>
      </c>
      <c r="D306">
        <v>977</v>
      </c>
      <c r="E306">
        <v>33.042533460000001</v>
      </c>
      <c r="F306">
        <v>0.84428223844282235</v>
      </c>
      <c r="G306">
        <f t="shared" si="12"/>
        <v>0.46746411483253586</v>
      </c>
      <c r="H306">
        <f t="shared" si="13"/>
        <v>0.48249519022600001</v>
      </c>
      <c r="I306">
        <f t="shared" si="14"/>
        <v>0.42748168727634117</v>
      </c>
      <c r="J306" t="s">
        <v>948</v>
      </c>
      <c r="K306" t="s">
        <v>1505</v>
      </c>
    </row>
    <row r="307" spans="1:11" x14ac:dyDescent="0.3">
      <c r="A307" t="s">
        <v>612</v>
      </c>
      <c r="B307" t="str">
        <f>IF(Calculator!$B$1="NL",Data!K307,Data!J307)</f>
        <v>KAPELLEVELD_21019A15-</v>
      </c>
      <c r="C307">
        <v>757</v>
      </c>
      <c r="D307">
        <v>429</v>
      </c>
      <c r="E307">
        <v>42.140329489999999</v>
      </c>
      <c r="F307">
        <v>0.51926298157453932</v>
      </c>
      <c r="G307">
        <f t="shared" si="12"/>
        <v>0.56671070013210034</v>
      </c>
      <c r="H307">
        <f t="shared" si="13"/>
        <v>0.73814325866899999</v>
      </c>
      <c r="I307">
        <f t="shared" si="14"/>
        <v>0.58718428146049517</v>
      </c>
      <c r="J307" t="s">
        <v>949</v>
      </c>
      <c r="K307" t="s">
        <v>949</v>
      </c>
    </row>
    <row r="308" spans="1:11" x14ac:dyDescent="0.3">
      <c r="A308" t="s">
        <v>599</v>
      </c>
      <c r="B308" t="str">
        <f>IF(Calculator!$B$1="NL",Data!K308,Data!J308)</f>
        <v>KAPELLEVELD-NORD-EST_21018A84-</v>
      </c>
      <c r="C308">
        <v>384</v>
      </c>
      <c r="D308">
        <v>236</v>
      </c>
      <c r="E308">
        <v>38.48037892</v>
      </c>
      <c r="F308">
        <v>0.324812030075188</v>
      </c>
      <c r="G308">
        <f t="shared" si="12"/>
        <v>0.61458333333333337</v>
      </c>
      <c r="H308">
        <f t="shared" si="13"/>
        <v>0.63529864765199995</v>
      </c>
      <c r="I308">
        <f t="shared" si="14"/>
        <v>0.56244689144339999</v>
      </c>
      <c r="J308" t="s">
        <v>950</v>
      </c>
      <c r="K308" t="s">
        <v>1506</v>
      </c>
    </row>
    <row r="309" spans="1:11" x14ac:dyDescent="0.3">
      <c r="A309" t="s">
        <v>596</v>
      </c>
      <c r="B309" t="str">
        <f>IF(Calculator!$B$1="NL",Data!K309,Data!J309)</f>
        <v>KAPELLEVELD-SUD_21018A81-</v>
      </c>
      <c r="C309">
        <v>278</v>
      </c>
      <c r="D309">
        <v>191</v>
      </c>
      <c r="E309">
        <v>40.398192049999999</v>
      </c>
      <c r="F309">
        <v>0.33506493506493512</v>
      </c>
      <c r="G309">
        <f t="shared" si="12"/>
        <v>0.68705035971223016</v>
      </c>
      <c r="H309">
        <f t="shared" si="13"/>
        <v>0.68918919660500011</v>
      </c>
      <c r="I309">
        <f t="shared" si="14"/>
        <v>0.61930780034275368</v>
      </c>
      <c r="J309" t="s">
        <v>951</v>
      </c>
      <c r="K309" t="s">
        <v>1507</v>
      </c>
    </row>
    <row r="310" spans="1:11" x14ac:dyDescent="0.3">
      <c r="A310" t="s">
        <v>24</v>
      </c>
      <c r="B310" t="str">
        <f>IF(Calculator!$B$1="NL",Data!K310,Data!J310)</f>
        <v>KAT_21001A42-</v>
      </c>
      <c r="C310">
        <v>245</v>
      </c>
      <c r="D310">
        <v>183</v>
      </c>
      <c r="E310">
        <v>40.235637869999998</v>
      </c>
      <c r="F310">
        <v>0.94557823129251706</v>
      </c>
      <c r="G310">
        <f t="shared" si="12"/>
        <v>0.74693877551020404</v>
      </c>
      <c r="H310">
        <f t="shared" si="13"/>
        <v>0.68462142414699989</v>
      </c>
      <c r="I310">
        <f t="shared" si="14"/>
        <v>0.67999109483717179</v>
      </c>
      <c r="J310" t="s">
        <v>952</v>
      </c>
      <c r="K310" t="s">
        <v>1508</v>
      </c>
    </row>
    <row r="311" spans="1:11" x14ac:dyDescent="0.3">
      <c r="A311" t="s">
        <v>425</v>
      </c>
      <c r="B311" t="str">
        <f>IF(Calculator!$B$1="NL",Data!K311,Data!J311)</f>
        <v>KATANGA_21007A06-</v>
      </c>
      <c r="C311">
        <v>313</v>
      </c>
      <c r="D311">
        <v>183</v>
      </c>
      <c r="E311">
        <v>38.349123489999997</v>
      </c>
      <c r="F311">
        <v>0.97029702970297027</v>
      </c>
      <c r="G311">
        <f t="shared" si="12"/>
        <v>0.5846645367412141</v>
      </c>
      <c r="H311">
        <f t="shared" si="13"/>
        <v>0.63161037006899989</v>
      </c>
      <c r="I311">
        <f t="shared" si="14"/>
        <v>0.57773058073485162</v>
      </c>
      <c r="J311" t="s">
        <v>953</v>
      </c>
      <c r="K311" t="s">
        <v>953</v>
      </c>
    </row>
    <row r="312" spans="1:11" x14ac:dyDescent="0.3">
      <c r="A312" t="s">
        <v>277</v>
      </c>
      <c r="B312" t="str">
        <f>IF(Calculator!$B$1="NL",Data!K312,Data!J312)</f>
        <v>KAUWBERG_21016A490</v>
      </c>
      <c r="C312">
        <v>383</v>
      </c>
      <c r="D312">
        <v>427</v>
      </c>
      <c r="E312">
        <v>58.32957493</v>
      </c>
      <c r="F312">
        <v>0.1872659176029963</v>
      </c>
      <c r="G312">
        <f t="shared" si="12"/>
        <v>1.1148825065274151</v>
      </c>
      <c r="H312">
        <f t="shared" si="13"/>
        <v>1.1930610555330001</v>
      </c>
      <c r="I312">
        <f t="shared" si="14"/>
        <v>1.0385746029271867</v>
      </c>
      <c r="J312" t="s">
        <v>954</v>
      </c>
      <c r="K312" t="s">
        <v>954</v>
      </c>
    </row>
    <row r="313" spans="1:11" x14ac:dyDescent="0.3">
      <c r="A313" t="s">
        <v>465</v>
      </c>
      <c r="B313" t="str">
        <f>IF(Calculator!$B$1="NL",Data!K313,Data!J313)</f>
        <v>KEET_21006A153</v>
      </c>
      <c r="C313">
        <v>506</v>
      </c>
      <c r="D313">
        <v>285</v>
      </c>
      <c r="E313">
        <v>35.518164519999999</v>
      </c>
      <c r="F313">
        <v>0.98360655737704916</v>
      </c>
      <c r="G313">
        <f t="shared" si="12"/>
        <v>0.56324110671936756</v>
      </c>
      <c r="H313">
        <f t="shared" si="13"/>
        <v>0.55206042301199987</v>
      </c>
      <c r="I313">
        <f t="shared" si="14"/>
        <v>0.52976822662239942</v>
      </c>
      <c r="J313" t="s">
        <v>955</v>
      </c>
      <c r="K313" t="s">
        <v>955</v>
      </c>
    </row>
    <row r="314" spans="1:11" x14ac:dyDescent="0.3">
      <c r="A314" t="s">
        <v>287</v>
      </c>
      <c r="B314" t="str">
        <f>IF(Calculator!$B$1="NL",Data!K314,Data!J314)</f>
        <v>KEIENBEMPT_21016A71-</v>
      </c>
      <c r="C314">
        <v>968</v>
      </c>
      <c r="D314">
        <v>850</v>
      </c>
      <c r="E314">
        <v>45.679112420000003</v>
      </c>
      <c r="F314">
        <v>0.67403314917127077</v>
      </c>
      <c r="G314">
        <f t="shared" si="12"/>
        <v>0.87809917355371903</v>
      </c>
      <c r="H314">
        <f t="shared" si="13"/>
        <v>0.83758305900200014</v>
      </c>
      <c r="I314">
        <f t="shared" si="14"/>
        <v>0.77205700465007365</v>
      </c>
      <c r="J314" t="s">
        <v>956</v>
      </c>
      <c r="K314" t="s">
        <v>956</v>
      </c>
    </row>
    <row r="315" spans="1:11" x14ac:dyDescent="0.3">
      <c r="A315" t="s">
        <v>616</v>
      </c>
      <c r="B315" t="str">
        <f>IF(Calculator!$B$1="NL",Data!K315,Data!J315)</f>
        <v>KELLE_21019A231</v>
      </c>
      <c r="C315">
        <v>449</v>
      </c>
      <c r="D315">
        <v>393</v>
      </c>
      <c r="E315">
        <v>46.296397409999997</v>
      </c>
      <c r="F315">
        <v>1.128440366972477</v>
      </c>
      <c r="G315">
        <f t="shared" si="12"/>
        <v>0.87527839643652561</v>
      </c>
      <c r="H315">
        <f t="shared" si="13"/>
        <v>0.85492876722099997</v>
      </c>
      <c r="I315">
        <f t="shared" si="14"/>
        <v>0.86510358182876279</v>
      </c>
      <c r="J315" t="s">
        <v>957</v>
      </c>
      <c r="K315" t="s">
        <v>957</v>
      </c>
    </row>
    <row r="316" spans="1:11" x14ac:dyDescent="0.3">
      <c r="A316" t="s">
        <v>457</v>
      </c>
      <c r="B316" t="str">
        <f>IF(Calculator!$B$1="NL",Data!K316,Data!J316)</f>
        <v>KERKHOEK_21006A042</v>
      </c>
      <c r="C316">
        <v>486</v>
      </c>
      <c r="D316">
        <v>408</v>
      </c>
      <c r="E316">
        <v>37.693384690000002</v>
      </c>
      <c r="F316">
        <v>0.94247787610619471</v>
      </c>
      <c r="G316">
        <f t="shared" si="12"/>
        <v>0.83950617283950613</v>
      </c>
      <c r="H316">
        <f t="shared" si="13"/>
        <v>0.61318410978900006</v>
      </c>
      <c r="I316">
        <f t="shared" si="14"/>
        <v>0.69002788424854045</v>
      </c>
      <c r="J316" t="s">
        <v>958</v>
      </c>
      <c r="K316" t="s">
        <v>958</v>
      </c>
    </row>
    <row r="317" spans="1:11" x14ac:dyDescent="0.3">
      <c r="A317" t="s">
        <v>598</v>
      </c>
      <c r="B317" t="str">
        <f>IF(Calculator!$B$1="NL",Data!K317,Data!J317)</f>
        <v>KLAKKEDELLE_21018A83-</v>
      </c>
      <c r="C317">
        <v>476</v>
      </c>
      <c r="D317">
        <v>422</v>
      </c>
      <c r="E317">
        <v>35.875845939999998</v>
      </c>
      <c r="F317">
        <v>0.57660167130919215</v>
      </c>
      <c r="G317">
        <f t="shared" si="12"/>
        <v>0.88655462184873945</v>
      </c>
      <c r="H317">
        <f t="shared" si="13"/>
        <v>0.56211127091399993</v>
      </c>
      <c r="I317">
        <f t="shared" si="14"/>
        <v>0.65189965174323272</v>
      </c>
      <c r="J317" t="s">
        <v>959</v>
      </c>
      <c r="K317" t="s">
        <v>959</v>
      </c>
    </row>
    <row r="318" spans="1:11" x14ac:dyDescent="0.3">
      <c r="A318" t="s">
        <v>406</v>
      </c>
      <c r="B318" t="str">
        <f>IF(Calculator!$B$1="NL",Data!K318,Data!J318)</f>
        <v>KLAUWAERTS_21009A623</v>
      </c>
      <c r="C318">
        <v>183</v>
      </c>
      <c r="D318">
        <v>93</v>
      </c>
      <c r="E318">
        <v>34.561923899999996</v>
      </c>
      <c r="F318">
        <v>0.86301369863013699</v>
      </c>
      <c r="G318">
        <f t="shared" si="12"/>
        <v>0.50819672131147542</v>
      </c>
      <c r="H318">
        <f t="shared" si="13"/>
        <v>0.52519006158999981</v>
      </c>
      <c r="I318">
        <f t="shared" si="14"/>
        <v>0.49085872187820079</v>
      </c>
      <c r="J318" t="s">
        <v>960</v>
      </c>
      <c r="K318" t="s">
        <v>960</v>
      </c>
    </row>
    <row r="319" spans="1:11" x14ac:dyDescent="0.3">
      <c r="A319" t="s">
        <v>4</v>
      </c>
      <c r="B319" t="str">
        <f>IF(Calculator!$B$1="NL",Data!K319,Data!J319)</f>
        <v>KLEINMOLEN_21001A011</v>
      </c>
      <c r="C319">
        <v>1715</v>
      </c>
      <c r="D319">
        <v>678</v>
      </c>
      <c r="E319">
        <v>30.37224003</v>
      </c>
      <c r="F319">
        <v>0.86679920477137173</v>
      </c>
      <c r="G319">
        <f t="shared" si="12"/>
        <v>0.39533527696793003</v>
      </c>
      <c r="H319">
        <f t="shared" si="13"/>
        <v>0.40745994484300002</v>
      </c>
      <c r="I319">
        <f t="shared" si="14"/>
        <v>0.38132773036019174</v>
      </c>
      <c r="J319" t="s">
        <v>961</v>
      </c>
      <c r="K319" t="s">
        <v>961</v>
      </c>
    </row>
    <row r="320" spans="1:11" x14ac:dyDescent="0.3">
      <c r="A320" t="s">
        <v>610</v>
      </c>
      <c r="B320" t="str">
        <f>IF(Calculator!$B$1="NL",Data!K320,Data!J320)</f>
        <v>KONKEL_21019A131</v>
      </c>
      <c r="C320">
        <v>787</v>
      </c>
      <c r="D320">
        <v>794</v>
      </c>
      <c r="E320">
        <v>52.826959709999997</v>
      </c>
      <c r="F320">
        <v>0.52960526315789469</v>
      </c>
      <c r="G320">
        <f t="shared" si="12"/>
        <v>1.0088945362134689</v>
      </c>
      <c r="H320">
        <f t="shared" si="13"/>
        <v>1.0384375678510001</v>
      </c>
      <c r="I320">
        <f t="shared" si="14"/>
        <v>0.9212994468290111</v>
      </c>
      <c r="J320" t="s">
        <v>962</v>
      </c>
      <c r="K320" t="s">
        <v>962</v>
      </c>
    </row>
    <row r="321" spans="1:11" x14ac:dyDescent="0.3">
      <c r="A321" t="s">
        <v>241</v>
      </c>
      <c r="B321" t="str">
        <f>IF(Calculator!$B$1="NL",Data!K321,Data!J321)</f>
        <v>KORENBEEK_21012A822</v>
      </c>
      <c r="C321">
        <v>2137</v>
      </c>
      <c r="D321">
        <v>1434</v>
      </c>
      <c r="E321">
        <v>35.543545020000003</v>
      </c>
      <c r="F321">
        <v>0.88997214484679665</v>
      </c>
      <c r="G321">
        <f t="shared" si="12"/>
        <v>0.67103416003743566</v>
      </c>
      <c r="H321">
        <f t="shared" si="13"/>
        <v>0.55277361506200018</v>
      </c>
      <c r="I321">
        <f t="shared" si="14"/>
        <v>0.58130869317223199</v>
      </c>
      <c r="J321" t="s">
        <v>963</v>
      </c>
      <c r="K321" t="s">
        <v>963</v>
      </c>
    </row>
    <row r="322" spans="1:11" x14ac:dyDescent="0.3">
      <c r="A322" t="s">
        <v>282</v>
      </c>
      <c r="B322" t="str">
        <f>IF(Calculator!$B$1="NL",Data!K322,Data!J322)</f>
        <v>KRIEKENPUT_21016A620</v>
      </c>
      <c r="C322">
        <v>465</v>
      </c>
      <c r="D322">
        <v>504</v>
      </c>
      <c r="E322">
        <v>52.364061370000002</v>
      </c>
      <c r="F322">
        <v>0.41338582677165348</v>
      </c>
      <c r="G322">
        <f t="shared" ref="G322:G385" si="15">D322/C322</f>
        <v>1.0838709677419356</v>
      </c>
      <c r="H322">
        <f t="shared" si="13"/>
        <v>1.0254301244970001</v>
      </c>
      <c r="I322">
        <f t="shared" si="14"/>
        <v>0.94918549150752118</v>
      </c>
      <c r="J322" t="s">
        <v>964</v>
      </c>
      <c r="K322" t="s">
        <v>964</v>
      </c>
    </row>
    <row r="323" spans="1:11" x14ac:dyDescent="0.3">
      <c r="A323" t="s">
        <v>102</v>
      </c>
      <c r="B323" t="str">
        <f>IF(Calculator!$B$1="NL",Data!K323,Data!J323)</f>
        <v>L. DE SMET_21003A04-</v>
      </c>
      <c r="C323">
        <v>419</v>
      </c>
      <c r="D323">
        <v>355</v>
      </c>
      <c r="E323">
        <v>42.066996359999997</v>
      </c>
      <c r="F323">
        <v>0.87786259541984735</v>
      </c>
      <c r="G323">
        <f t="shared" si="15"/>
        <v>0.847255369928401</v>
      </c>
      <c r="H323">
        <f t="shared" ref="H323:H386" si="16">0.0281*E323-0.446</f>
        <v>0.73608259771599993</v>
      </c>
      <c r="I323">
        <f t="shared" ref="I323:I386" si="17">(G323+H323)/2*IF(F323&lt;85%,0.9,IF(F323&gt;100%,1,0.95))</f>
        <v>0.7520855346310904</v>
      </c>
      <c r="J323" t="s">
        <v>965</v>
      </c>
      <c r="K323" t="s">
        <v>1509</v>
      </c>
    </row>
    <row r="324" spans="1:11" x14ac:dyDescent="0.3">
      <c r="A324" t="s">
        <v>415</v>
      </c>
      <c r="B324" t="str">
        <f>IF(Calculator!$B$1="NL",Data!K324,Data!J324)</f>
        <v>L. ERNOTTE (RUE)_21009A83-</v>
      </c>
      <c r="C324">
        <v>421</v>
      </c>
      <c r="D324">
        <v>196</v>
      </c>
      <c r="E324">
        <v>39.059231400000002</v>
      </c>
      <c r="F324">
        <v>0.7172774869109948</v>
      </c>
      <c r="G324">
        <f t="shared" si="15"/>
        <v>0.46555819477434679</v>
      </c>
      <c r="H324">
        <f t="shared" si="16"/>
        <v>0.65156440234000002</v>
      </c>
      <c r="I324">
        <f t="shared" si="17"/>
        <v>0.5027051687014561</v>
      </c>
      <c r="J324" t="s">
        <v>966</v>
      </c>
      <c r="K324" t="s">
        <v>1510</v>
      </c>
    </row>
    <row r="325" spans="1:11" x14ac:dyDescent="0.3">
      <c r="A325" t="s">
        <v>490</v>
      </c>
      <c r="B325" t="str">
        <f>IF(Calculator!$B$1="NL",Data!K325,Data!J325)</f>
        <v>LA CHASSE_21005A13-</v>
      </c>
      <c r="C325">
        <v>895</v>
      </c>
      <c r="D325">
        <v>276</v>
      </c>
      <c r="E325">
        <v>33.146390760000003</v>
      </c>
      <c r="F325">
        <v>0.85433070866141736</v>
      </c>
      <c r="G325">
        <f t="shared" si="15"/>
        <v>0.30837988826815643</v>
      </c>
      <c r="H325">
        <f t="shared" si="16"/>
        <v>0.48541358035600007</v>
      </c>
      <c r="I325">
        <f t="shared" si="17"/>
        <v>0.37705189759647434</v>
      </c>
      <c r="J325" t="s">
        <v>967</v>
      </c>
      <c r="K325" t="s">
        <v>1511</v>
      </c>
    </row>
    <row r="326" spans="1:11" x14ac:dyDescent="0.3">
      <c r="A326" t="s">
        <v>232</v>
      </c>
      <c r="B326" t="str">
        <f>IF(Calculator!$B$1="NL",Data!K326,Data!J326)</f>
        <v>LAEKENVELD_21012A60-</v>
      </c>
      <c r="C326">
        <v>1835</v>
      </c>
      <c r="D326">
        <v>829</v>
      </c>
      <c r="E326">
        <v>31.567204530000001</v>
      </c>
      <c r="F326">
        <v>0.93008739076154812</v>
      </c>
      <c r="G326">
        <f t="shared" si="15"/>
        <v>0.45177111716621254</v>
      </c>
      <c r="H326">
        <f t="shared" si="16"/>
        <v>0.44103844729300007</v>
      </c>
      <c r="I326">
        <f t="shared" si="17"/>
        <v>0.42408454311812599</v>
      </c>
      <c r="J326" t="s">
        <v>968</v>
      </c>
      <c r="K326" t="s">
        <v>1512</v>
      </c>
    </row>
    <row r="327" spans="1:11" x14ac:dyDescent="0.3">
      <c r="A327" t="s">
        <v>577</v>
      </c>
      <c r="B327" t="str">
        <f>IF(Calculator!$B$1="NL",Data!K327,Data!J327)</f>
        <v>LAMBEAU (AVENUE)_21018A24-</v>
      </c>
      <c r="C327">
        <v>1075</v>
      </c>
      <c r="D327">
        <v>820</v>
      </c>
      <c r="E327">
        <v>35.989807730000003</v>
      </c>
      <c r="F327">
        <v>0.96729776247848542</v>
      </c>
      <c r="G327">
        <f t="shared" si="15"/>
        <v>0.76279069767441865</v>
      </c>
      <c r="H327">
        <f t="shared" si="16"/>
        <v>0.56531359721300012</v>
      </c>
      <c r="I327">
        <f t="shared" si="17"/>
        <v>0.63084954007152383</v>
      </c>
      <c r="J327" t="s">
        <v>969</v>
      </c>
      <c r="K327" t="s">
        <v>1513</v>
      </c>
    </row>
    <row r="328" spans="1:11" x14ac:dyDescent="0.3">
      <c r="A328" t="s">
        <v>74</v>
      </c>
      <c r="B328" t="str">
        <f>IF(Calculator!$B$1="NL",Data!K328,Data!J328)</f>
        <v>LAMMERENDRIES_21002A030</v>
      </c>
      <c r="C328">
        <v>920</v>
      </c>
      <c r="D328">
        <v>656</v>
      </c>
      <c r="E328">
        <v>35.68839243</v>
      </c>
      <c r="F328">
        <v>0.78058252427184471</v>
      </c>
      <c r="G328">
        <f t="shared" si="15"/>
        <v>0.71304347826086956</v>
      </c>
      <c r="H328">
        <f t="shared" si="16"/>
        <v>0.55684382728300008</v>
      </c>
      <c r="I328">
        <f t="shared" si="17"/>
        <v>0.57144928749474133</v>
      </c>
      <c r="J328" t="s">
        <v>970</v>
      </c>
      <c r="K328" t="s">
        <v>970</v>
      </c>
    </row>
    <row r="329" spans="1:11" x14ac:dyDescent="0.3">
      <c r="A329" t="s">
        <v>561</v>
      </c>
      <c r="B329" t="str">
        <f>IF(Calculator!$B$1="NL",Data!K329,Data!J329)</f>
        <v>LATINIS (AVENUE G.)_21015A831</v>
      </c>
      <c r="C329">
        <v>1809</v>
      </c>
      <c r="D329">
        <v>1206</v>
      </c>
      <c r="E329">
        <v>39.617064390000003</v>
      </c>
      <c r="F329">
        <v>0.85383502170767001</v>
      </c>
      <c r="G329">
        <f t="shared" si="15"/>
        <v>0.66666666666666663</v>
      </c>
      <c r="H329">
        <f t="shared" si="16"/>
        <v>0.66723950935900023</v>
      </c>
      <c r="I329">
        <f t="shared" si="17"/>
        <v>0.63360543361219168</v>
      </c>
      <c r="J329" t="s">
        <v>971</v>
      </c>
      <c r="K329" t="s">
        <v>1514</v>
      </c>
    </row>
    <row r="330" spans="1:11" x14ac:dyDescent="0.3">
      <c r="A330" t="s">
        <v>100</v>
      </c>
      <c r="B330" t="str">
        <f>IF(Calculator!$B$1="NL",Data!K330,Data!J330)</f>
        <v>LAURE - BASILIQUE_21003A02-</v>
      </c>
      <c r="C330">
        <v>1367</v>
      </c>
      <c r="D330">
        <v>972</v>
      </c>
      <c r="E330">
        <v>35.436251050000003</v>
      </c>
      <c r="F330">
        <v>0.81901279707495434</v>
      </c>
      <c r="G330">
        <f t="shared" si="15"/>
        <v>0.71104608632040966</v>
      </c>
      <c r="H330">
        <f t="shared" si="16"/>
        <v>0.54975865450500017</v>
      </c>
      <c r="I330">
        <f t="shared" si="17"/>
        <v>0.56736213337143437</v>
      </c>
      <c r="J330" t="s">
        <v>972</v>
      </c>
      <c r="K330" t="s">
        <v>1515</v>
      </c>
    </row>
    <row r="331" spans="1:11" x14ac:dyDescent="0.3">
      <c r="A331" t="s">
        <v>238</v>
      </c>
      <c r="B331" t="str">
        <f>IF(Calculator!$B$1="NL",Data!K331,Data!J331)</f>
        <v>LAVALLEE_21012A72-</v>
      </c>
      <c r="C331">
        <v>960</v>
      </c>
      <c r="D331">
        <v>411</v>
      </c>
      <c r="E331">
        <v>28.168431609999999</v>
      </c>
      <c r="F331">
        <v>0.75059952038369304</v>
      </c>
      <c r="G331">
        <f t="shared" si="15"/>
        <v>0.42812499999999998</v>
      </c>
      <c r="H331">
        <f t="shared" si="16"/>
        <v>0.34553292824099996</v>
      </c>
      <c r="I331">
        <f t="shared" si="17"/>
        <v>0.34814606770844997</v>
      </c>
      <c r="J331" t="s">
        <v>973</v>
      </c>
      <c r="K331" t="s">
        <v>973</v>
      </c>
    </row>
    <row r="332" spans="1:11" x14ac:dyDescent="0.3">
      <c r="A332" t="s">
        <v>262</v>
      </c>
      <c r="B332" t="str">
        <f>IF(Calculator!$B$1="NL",Data!K332,Data!J332)</f>
        <v>LE CHAT_21016A05-</v>
      </c>
      <c r="C332">
        <v>2130</v>
      </c>
      <c r="D332">
        <v>1058</v>
      </c>
      <c r="E332">
        <v>39.325583479999999</v>
      </c>
      <c r="F332">
        <v>0.99513973268529765</v>
      </c>
      <c r="G332">
        <f t="shared" si="15"/>
        <v>0.49671361502347416</v>
      </c>
      <c r="H332">
        <f t="shared" si="16"/>
        <v>0.65904889578800008</v>
      </c>
      <c r="I332">
        <f t="shared" si="17"/>
        <v>0.54898719263545026</v>
      </c>
      <c r="J332" t="s">
        <v>974</v>
      </c>
      <c r="K332" t="s">
        <v>1516</v>
      </c>
    </row>
    <row r="333" spans="1:11" x14ac:dyDescent="0.3">
      <c r="A333" t="s">
        <v>342</v>
      </c>
      <c r="B333" t="str">
        <f>IF(Calculator!$B$1="NL",Data!K333,Data!J333)</f>
        <v>LE HOME_21008A30-</v>
      </c>
      <c r="C333">
        <v>552</v>
      </c>
      <c r="D333">
        <v>411</v>
      </c>
      <c r="E333">
        <v>37.012821889999998</v>
      </c>
      <c r="F333">
        <v>0.83854166666666663</v>
      </c>
      <c r="G333">
        <f t="shared" si="15"/>
        <v>0.74456521739130432</v>
      </c>
      <c r="H333">
        <f t="shared" si="16"/>
        <v>0.59406029510899994</v>
      </c>
      <c r="I333">
        <f t="shared" si="17"/>
        <v>0.60238148062513697</v>
      </c>
      <c r="J333" t="s">
        <v>975</v>
      </c>
      <c r="K333" t="s">
        <v>975</v>
      </c>
    </row>
    <row r="334" spans="1:11" x14ac:dyDescent="0.3">
      <c r="A334" t="s">
        <v>308</v>
      </c>
      <c r="B334" t="str">
        <f>IF(Calculator!$B$1="NL",Data!K334,Data!J334)</f>
        <v>LE LOGIS-NORD_21017A12-</v>
      </c>
      <c r="C334">
        <v>944</v>
      </c>
      <c r="D334">
        <v>721</v>
      </c>
      <c r="E334">
        <v>51.017703789999999</v>
      </c>
      <c r="F334">
        <v>0.55326768128916737</v>
      </c>
      <c r="G334">
        <f t="shared" si="15"/>
        <v>0.76377118644067798</v>
      </c>
      <c r="H334">
        <f t="shared" si="16"/>
        <v>0.98759747649900009</v>
      </c>
      <c r="I334">
        <f t="shared" si="17"/>
        <v>0.78811589832285511</v>
      </c>
      <c r="J334" t="s">
        <v>976</v>
      </c>
      <c r="K334" t="s">
        <v>1517</v>
      </c>
    </row>
    <row r="335" spans="1:11" x14ac:dyDescent="0.3">
      <c r="A335" t="s">
        <v>311</v>
      </c>
      <c r="B335" t="str">
        <f>IF(Calculator!$B$1="NL",Data!K335,Data!J335)</f>
        <v>LE LOGIS-SUD_21017A220</v>
      </c>
      <c r="C335">
        <v>263</v>
      </c>
      <c r="D335">
        <v>150</v>
      </c>
      <c r="E335">
        <v>41.680106889999998</v>
      </c>
      <c r="F335">
        <v>0.44850498338870431</v>
      </c>
      <c r="G335">
        <f t="shared" si="15"/>
        <v>0.57034220532319391</v>
      </c>
      <c r="H335">
        <f t="shared" si="16"/>
        <v>0.72521100360900004</v>
      </c>
      <c r="I335">
        <f t="shared" si="17"/>
        <v>0.58299894401948726</v>
      </c>
      <c r="J335" t="s">
        <v>977</v>
      </c>
      <c r="K335" t="s">
        <v>1518</v>
      </c>
    </row>
    <row r="336" spans="1:11" x14ac:dyDescent="0.3">
      <c r="A336" t="s">
        <v>83</v>
      </c>
      <c r="B336" t="str">
        <f>IF(Calculator!$B$1="NL",Data!K336,Data!J336)</f>
        <v>LEBON_21002A21-</v>
      </c>
      <c r="C336">
        <v>1740</v>
      </c>
      <c r="D336">
        <v>1058</v>
      </c>
      <c r="E336">
        <v>35.842372189999999</v>
      </c>
      <c r="F336">
        <v>0.99524940617577196</v>
      </c>
      <c r="G336">
        <f t="shared" si="15"/>
        <v>0.60804597701149421</v>
      </c>
      <c r="H336">
        <f t="shared" si="16"/>
        <v>0.56117065853899994</v>
      </c>
      <c r="I336">
        <f t="shared" si="17"/>
        <v>0.55537790188648462</v>
      </c>
      <c r="J336" t="s">
        <v>978</v>
      </c>
      <c r="K336" t="s">
        <v>978</v>
      </c>
    </row>
    <row r="337" spans="1:11" x14ac:dyDescent="0.3">
      <c r="A337" t="s">
        <v>145</v>
      </c>
      <c r="B337" t="str">
        <f>IF(Calculator!$B$1="NL",Data!K337,Data!J337)</f>
        <v>LEOPOLD (PARC)_21004B293</v>
      </c>
      <c r="C337">
        <v>105</v>
      </c>
      <c r="D337">
        <v>40</v>
      </c>
      <c r="E337">
        <v>30.631074040000001</v>
      </c>
      <c r="F337">
        <v>0.42553191489361702</v>
      </c>
      <c r="G337">
        <f t="shared" si="15"/>
        <v>0.38095238095238093</v>
      </c>
      <c r="H337">
        <f t="shared" si="16"/>
        <v>0.41473318052400004</v>
      </c>
      <c r="I337">
        <f t="shared" si="17"/>
        <v>0.35805850266437145</v>
      </c>
      <c r="J337" t="s">
        <v>979</v>
      </c>
      <c r="K337" t="s">
        <v>1519</v>
      </c>
    </row>
    <row r="338" spans="1:11" x14ac:dyDescent="0.3">
      <c r="A338" t="s">
        <v>501</v>
      </c>
      <c r="B338" t="str">
        <f>IF(Calculator!$B$1="NL",Data!K338,Data!J338)</f>
        <v>LEOPOLD I_21010A02-</v>
      </c>
      <c r="C338">
        <v>1802</v>
      </c>
      <c r="D338">
        <v>1079</v>
      </c>
      <c r="E338">
        <v>35.888246789999997</v>
      </c>
      <c r="F338">
        <v>0.86194477791116442</v>
      </c>
      <c r="G338">
        <f t="shared" si="15"/>
        <v>0.59877913429522756</v>
      </c>
      <c r="H338">
        <f t="shared" si="16"/>
        <v>0.56245973479899991</v>
      </c>
      <c r="I338">
        <f t="shared" si="17"/>
        <v>0.55158846281975804</v>
      </c>
      <c r="J338" t="s">
        <v>980</v>
      </c>
      <c r="K338" t="s">
        <v>980</v>
      </c>
    </row>
    <row r="339" spans="1:11" x14ac:dyDescent="0.3">
      <c r="A339" t="s">
        <v>329</v>
      </c>
      <c r="B339" t="str">
        <f>IF(Calculator!$B$1="NL",Data!K339,Data!J339)</f>
        <v>LEPREUX_21011A11-</v>
      </c>
      <c r="C339">
        <v>931</v>
      </c>
      <c r="D339">
        <v>587</v>
      </c>
      <c r="E339">
        <v>34.238728960000003</v>
      </c>
      <c r="F339">
        <v>0.95348837209302328</v>
      </c>
      <c r="G339">
        <f t="shared" si="15"/>
        <v>0.63050483351235231</v>
      </c>
      <c r="H339">
        <f t="shared" si="16"/>
        <v>0.51610828377600004</v>
      </c>
      <c r="I339">
        <f t="shared" si="17"/>
        <v>0.54464123071196724</v>
      </c>
      <c r="J339" t="s">
        <v>981</v>
      </c>
      <c r="K339" t="s">
        <v>981</v>
      </c>
    </row>
    <row r="340" spans="1:11" x14ac:dyDescent="0.3">
      <c r="A340" t="s">
        <v>573</v>
      </c>
      <c r="B340" t="str">
        <f>IF(Calculator!$B$1="NL",Data!K340,Data!J340)</f>
        <v>LES SOURCES_21018A15-</v>
      </c>
      <c r="C340">
        <v>101</v>
      </c>
      <c r="D340">
        <v>90</v>
      </c>
      <c r="E340">
        <v>43.36611825</v>
      </c>
      <c r="F340">
        <v>0.72727272727272729</v>
      </c>
      <c r="G340">
        <f t="shared" si="15"/>
        <v>0.8910891089108911</v>
      </c>
      <c r="H340">
        <f t="shared" si="16"/>
        <v>0.77258792282500011</v>
      </c>
      <c r="I340">
        <f t="shared" si="17"/>
        <v>0.74865466428115102</v>
      </c>
      <c r="J340" t="s">
        <v>982</v>
      </c>
      <c r="K340" t="s">
        <v>1520</v>
      </c>
    </row>
    <row r="341" spans="1:11" x14ac:dyDescent="0.3">
      <c r="A341" t="s">
        <v>234</v>
      </c>
      <c r="B341" t="str">
        <f>IF(Calculator!$B$1="NL",Data!K341,Data!J341)</f>
        <v>LIBERATEURS_21012A62-</v>
      </c>
      <c r="C341">
        <v>2170</v>
      </c>
      <c r="D341">
        <v>951</v>
      </c>
      <c r="E341">
        <v>31.283776240000002</v>
      </c>
      <c r="F341">
        <v>0.84579439252336452</v>
      </c>
      <c r="G341">
        <f t="shared" si="15"/>
        <v>0.43824884792626728</v>
      </c>
      <c r="H341">
        <f t="shared" si="16"/>
        <v>0.43307411234400001</v>
      </c>
      <c r="I341">
        <f t="shared" si="17"/>
        <v>0.39209533212162029</v>
      </c>
      <c r="J341" t="s">
        <v>983</v>
      </c>
      <c r="K341" t="s">
        <v>1521</v>
      </c>
    </row>
    <row r="342" spans="1:11" x14ac:dyDescent="0.3">
      <c r="A342" t="s">
        <v>133</v>
      </c>
      <c r="B342" t="str">
        <f>IF(Calculator!$B$1="NL",Data!K342,Data!J342)</f>
        <v>LIBERTE (PLACE DE LA)_21004A33-</v>
      </c>
      <c r="C342">
        <v>1833</v>
      </c>
      <c r="D342">
        <v>403</v>
      </c>
      <c r="E342">
        <v>27.97112271</v>
      </c>
      <c r="F342">
        <v>0.46369426751592357</v>
      </c>
      <c r="G342">
        <f t="shared" si="15"/>
        <v>0.21985815602836881</v>
      </c>
      <c r="H342">
        <f t="shared" si="16"/>
        <v>0.33998854815099994</v>
      </c>
      <c r="I342">
        <f t="shared" si="17"/>
        <v>0.25193101688071595</v>
      </c>
      <c r="J342" t="s">
        <v>984</v>
      </c>
      <c r="K342" t="s">
        <v>1522</v>
      </c>
    </row>
    <row r="343" spans="1:11" x14ac:dyDescent="0.3">
      <c r="A343" t="s">
        <v>405</v>
      </c>
      <c r="B343" t="str">
        <f>IF(Calculator!$B$1="NL",Data!K343,Data!J343)</f>
        <v>LIEGEOIS (RUE)_21009A612</v>
      </c>
      <c r="C343">
        <v>1688</v>
      </c>
      <c r="D343">
        <v>580</v>
      </c>
      <c r="E343">
        <v>33.384816839999999</v>
      </c>
      <c r="F343">
        <v>0.8804123711340206</v>
      </c>
      <c r="G343">
        <f t="shared" si="15"/>
        <v>0.34360189573459715</v>
      </c>
      <c r="H343">
        <f t="shared" si="16"/>
        <v>0.49211335320400001</v>
      </c>
      <c r="I343">
        <f t="shared" si="17"/>
        <v>0.39696474324583364</v>
      </c>
      <c r="J343" t="s">
        <v>985</v>
      </c>
      <c r="K343" t="s">
        <v>1523</v>
      </c>
    </row>
    <row r="344" spans="1:11" x14ac:dyDescent="0.3">
      <c r="A344" t="s">
        <v>8</v>
      </c>
      <c r="B344" t="str">
        <f>IF(Calculator!$B$1="NL",Data!K344,Data!J344)</f>
        <v>LINDE-EST_21001A051</v>
      </c>
      <c r="C344">
        <v>649</v>
      </c>
      <c r="D344">
        <v>308</v>
      </c>
      <c r="E344">
        <v>33.057653909999999</v>
      </c>
      <c r="F344">
        <v>0.98863636363636365</v>
      </c>
      <c r="G344">
        <f t="shared" si="15"/>
        <v>0.47457627118644069</v>
      </c>
      <c r="H344">
        <f t="shared" si="16"/>
        <v>0.48292007487099992</v>
      </c>
      <c r="I344">
        <f t="shared" si="17"/>
        <v>0.45481076437728429</v>
      </c>
      <c r="J344" t="s">
        <v>986</v>
      </c>
      <c r="K344" t="s">
        <v>1524</v>
      </c>
    </row>
    <row r="345" spans="1:11" x14ac:dyDescent="0.3">
      <c r="A345" t="s">
        <v>15</v>
      </c>
      <c r="B345" t="str">
        <f>IF(Calculator!$B$1="NL",Data!K345,Data!J345)</f>
        <v>LINDE-OUEST_21001A152</v>
      </c>
      <c r="C345">
        <v>624</v>
      </c>
      <c r="D345">
        <v>385</v>
      </c>
      <c r="E345">
        <v>36.147850429999998</v>
      </c>
      <c r="F345">
        <v>1.005494505494505</v>
      </c>
      <c r="G345">
        <f t="shared" si="15"/>
        <v>0.61698717948717952</v>
      </c>
      <c r="H345">
        <f t="shared" si="16"/>
        <v>0.56975459708300003</v>
      </c>
      <c r="I345">
        <f t="shared" si="17"/>
        <v>0.59337088828508977</v>
      </c>
      <c r="J345" t="s">
        <v>987</v>
      </c>
      <c r="K345" t="s">
        <v>1525</v>
      </c>
    </row>
    <row r="346" spans="1:11" x14ac:dyDescent="0.3">
      <c r="A346" t="s">
        <v>546</v>
      </c>
      <c r="B346" t="str">
        <f>IF(Calculator!$B$1="NL",Data!K346,Data!J346)</f>
        <v>LINTHOUT (RUE)_21015A52-</v>
      </c>
      <c r="C346">
        <v>1549</v>
      </c>
      <c r="D346">
        <v>855</v>
      </c>
      <c r="E346">
        <v>36.65950952</v>
      </c>
      <c r="F346">
        <v>0.8039538714991763</v>
      </c>
      <c r="G346">
        <f t="shared" si="15"/>
        <v>0.55196901226597805</v>
      </c>
      <c r="H346">
        <f t="shared" si="16"/>
        <v>0.58413221751200006</v>
      </c>
      <c r="I346">
        <f t="shared" si="17"/>
        <v>0.51124555340009015</v>
      </c>
      <c r="J346" t="s">
        <v>988</v>
      </c>
      <c r="K346" t="s">
        <v>1526</v>
      </c>
    </row>
    <row r="347" spans="1:11" x14ac:dyDescent="0.3">
      <c r="A347" t="s">
        <v>517</v>
      </c>
      <c r="B347" t="str">
        <f>IF(Calculator!$B$1="NL",Data!K347,Data!J347)</f>
        <v>L'OLIVIER (RUE)_21015A04-</v>
      </c>
      <c r="C347">
        <v>1816</v>
      </c>
      <c r="D347">
        <v>769</v>
      </c>
      <c r="E347">
        <v>32.664093970000003</v>
      </c>
      <c r="F347">
        <v>0.79524680073126142</v>
      </c>
      <c r="G347">
        <f t="shared" si="15"/>
        <v>0.42345814977973567</v>
      </c>
      <c r="H347">
        <f t="shared" si="16"/>
        <v>0.47186104055700012</v>
      </c>
      <c r="I347">
        <f t="shared" si="17"/>
        <v>0.40289363565153113</v>
      </c>
      <c r="J347" t="s">
        <v>989</v>
      </c>
      <c r="K347" t="s">
        <v>1527</v>
      </c>
    </row>
    <row r="348" spans="1:11" x14ac:dyDescent="0.3">
      <c r="A348" t="s">
        <v>401</v>
      </c>
      <c r="B348" t="str">
        <f>IF(Calculator!$B$1="NL",Data!K348,Data!J348)</f>
        <v>LONDRES (PLACE DE)_21009A53-</v>
      </c>
      <c r="C348">
        <v>2346</v>
      </c>
      <c r="D348">
        <v>606</v>
      </c>
      <c r="E348">
        <v>32.979754370000002</v>
      </c>
      <c r="F348">
        <v>0.67431192660550454</v>
      </c>
      <c r="G348">
        <f t="shared" si="15"/>
        <v>0.25831202046035806</v>
      </c>
      <c r="H348">
        <f t="shared" si="16"/>
        <v>0.48073109779700002</v>
      </c>
      <c r="I348">
        <f t="shared" si="17"/>
        <v>0.33256940321581113</v>
      </c>
      <c r="J348" t="s">
        <v>990</v>
      </c>
      <c r="K348" t="s">
        <v>1528</v>
      </c>
    </row>
    <row r="349" spans="1:11" x14ac:dyDescent="0.3">
      <c r="A349" t="s">
        <v>294</v>
      </c>
      <c r="B349" t="str">
        <f>IF(Calculator!$B$1="NL",Data!K349,Data!J349)</f>
        <v>LONGCHAMP_21016A831</v>
      </c>
      <c r="C349">
        <v>1353</v>
      </c>
      <c r="D349">
        <v>1303</v>
      </c>
      <c r="E349">
        <v>45.616579299999998</v>
      </c>
      <c r="F349">
        <v>0.71705426356589153</v>
      </c>
      <c r="G349">
        <f t="shared" si="15"/>
        <v>0.96304508499630448</v>
      </c>
      <c r="H349">
        <f t="shared" si="16"/>
        <v>0.83582587832999988</v>
      </c>
      <c r="I349">
        <f t="shared" si="17"/>
        <v>0.80949193349683701</v>
      </c>
      <c r="J349" t="s">
        <v>991</v>
      </c>
      <c r="K349" t="s">
        <v>1529</v>
      </c>
    </row>
    <row r="350" spans="1:11" x14ac:dyDescent="0.3">
      <c r="A350" t="s">
        <v>154</v>
      </c>
      <c r="B350" t="str">
        <f>IF(Calculator!$B$1="NL",Data!K350,Data!J350)</f>
        <v>LOUISE (AVENUE)-NORD_21004C501</v>
      </c>
      <c r="C350">
        <v>469</v>
      </c>
      <c r="D350">
        <v>195</v>
      </c>
      <c r="E350">
        <v>30.224953200000002</v>
      </c>
      <c r="F350">
        <v>0.47429906542056077</v>
      </c>
      <c r="G350">
        <f t="shared" si="15"/>
        <v>0.41577825159914711</v>
      </c>
      <c r="H350">
        <f t="shared" si="16"/>
        <v>0.40332118492000008</v>
      </c>
      <c r="I350">
        <f t="shared" si="17"/>
        <v>0.36859474643361623</v>
      </c>
      <c r="J350" t="s">
        <v>992</v>
      </c>
      <c r="K350" t="s">
        <v>1530</v>
      </c>
    </row>
    <row r="351" spans="1:11" x14ac:dyDescent="0.3">
      <c r="A351" t="s">
        <v>155</v>
      </c>
      <c r="B351" t="str">
        <f>IF(Calculator!$B$1="NL",Data!K351,Data!J351)</f>
        <v>LOUISE (AVENUE)-NORD-EST_21004C51-</v>
      </c>
      <c r="C351">
        <v>848</v>
      </c>
      <c r="D351">
        <v>262</v>
      </c>
      <c r="E351">
        <v>31.213355140000001</v>
      </c>
      <c r="F351">
        <v>0.81614349775784756</v>
      </c>
      <c r="G351">
        <f t="shared" si="15"/>
        <v>0.30896226415094341</v>
      </c>
      <c r="H351">
        <f t="shared" si="16"/>
        <v>0.431095279434</v>
      </c>
      <c r="I351">
        <f t="shared" si="17"/>
        <v>0.33302589461322457</v>
      </c>
      <c r="J351" t="s">
        <v>993</v>
      </c>
      <c r="K351" t="s">
        <v>1531</v>
      </c>
    </row>
    <row r="352" spans="1:11" x14ac:dyDescent="0.3">
      <c r="A352" t="s">
        <v>156</v>
      </c>
      <c r="B352" t="str">
        <f>IF(Calculator!$B$1="NL",Data!K352,Data!J352)</f>
        <v>LOUISE (AVENUE)-NORD-OUEST_21004C52-</v>
      </c>
      <c r="C352">
        <v>718</v>
      </c>
      <c r="D352">
        <v>309</v>
      </c>
      <c r="E352">
        <v>28.231981820000001</v>
      </c>
      <c r="F352">
        <v>0.57679180887372017</v>
      </c>
      <c r="G352">
        <f t="shared" si="15"/>
        <v>0.43036211699164345</v>
      </c>
      <c r="H352">
        <f t="shared" si="16"/>
        <v>0.34731868914199998</v>
      </c>
      <c r="I352">
        <f t="shared" si="17"/>
        <v>0.34995636276013953</v>
      </c>
      <c r="J352" t="s">
        <v>994</v>
      </c>
      <c r="K352" t="s">
        <v>1532</v>
      </c>
    </row>
    <row r="353" spans="1:11" x14ac:dyDescent="0.3">
      <c r="A353" t="s">
        <v>159</v>
      </c>
      <c r="B353" t="str">
        <f>IF(Calculator!$B$1="NL",Data!K353,Data!J353)</f>
        <v>LOUISE (AVENUE)-SUD_21004C552</v>
      </c>
      <c r="C353">
        <v>1168</v>
      </c>
      <c r="D353">
        <v>653</v>
      </c>
      <c r="E353">
        <v>36.341115700000003</v>
      </c>
      <c r="F353">
        <v>0.49152542372881358</v>
      </c>
      <c r="G353">
        <f t="shared" si="15"/>
        <v>0.55907534246575341</v>
      </c>
      <c r="H353">
        <f t="shared" si="16"/>
        <v>0.57518535117000003</v>
      </c>
      <c r="I353">
        <f t="shared" si="17"/>
        <v>0.5104173121360891</v>
      </c>
      <c r="J353" t="s">
        <v>995</v>
      </c>
      <c r="K353" t="s">
        <v>1533</v>
      </c>
    </row>
    <row r="354" spans="1:11" x14ac:dyDescent="0.3">
      <c r="A354" t="s">
        <v>158</v>
      </c>
      <c r="B354" t="str">
        <f>IF(Calculator!$B$1="NL",Data!K354,Data!J354)</f>
        <v>LOUISE (AVENUE)-SUD-EST_21004C54-</v>
      </c>
      <c r="C354">
        <v>1178</v>
      </c>
      <c r="D354">
        <v>590</v>
      </c>
      <c r="E354">
        <v>36.926992460000001</v>
      </c>
      <c r="F354">
        <v>0.66413662239089188</v>
      </c>
      <c r="G354">
        <f t="shared" si="15"/>
        <v>0.50084889643463493</v>
      </c>
      <c r="H354">
        <f t="shared" si="16"/>
        <v>0.59164848812600002</v>
      </c>
      <c r="I354">
        <f t="shared" si="17"/>
        <v>0.49162382305228575</v>
      </c>
      <c r="J354" t="s">
        <v>996</v>
      </c>
      <c r="K354" t="s">
        <v>1534</v>
      </c>
    </row>
    <row r="355" spans="1:11" x14ac:dyDescent="0.3">
      <c r="A355" t="s">
        <v>157</v>
      </c>
      <c r="B355" t="str">
        <f>IF(Calculator!$B$1="NL",Data!K355,Data!J355)</f>
        <v>LOUISE (AVENUE)-SUD-OUEST_21004C53-</v>
      </c>
      <c r="C355">
        <v>527</v>
      </c>
      <c r="D355">
        <v>245</v>
      </c>
      <c r="E355">
        <v>35.357136369999999</v>
      </c>
      <c r="F355">
        <v>0.79781420765027322</v>
      </c>
      <c r="G355">
        <f t="shared" si="15"/>
        <v>0.4648956356736243</v>
      </c>
      <c r="H355">
        <f t="shared" si="16"/>
        <v>0.54753553199699989</v>
      </c>
      <c r="I355">
        <f t="shared" si="17"/>
        <v>0.45559402545178085</v>
      </c>
      <c r="J355" t="s">
        <v>997</v>
      </c>
      <c r="K355" t="s">
        <v>1535</v>
      </c>
    </row>
    <row r="356" spans="1:11" x14ac:dyDescent="0.3">
      <c r="A356" t="s">
        <v>322</v>
      </c>
      <c r="B356" t="str">
        <f>IF(Calculator!$B$1="NL",Data!K356,Data!J356)</f>
        <v>LOUTRIER - WIENER_21017A541</v>
      </c>
      <c r="C356">
        <v>412</v>
      </c>
      <c r="D356">
        <v>303</v>
      </c>
      <c r="E356">
        <v>45.737346459999998</v>
      </c>
      <c r="F356">
        <v>0.7109004739336493</v>
      </c>
      <c r="G356">
        <f t="shared" si="15"/>
        <v>0.7354368932038835</v>
      </c>
      <c r="H356">
        <f t="shared" si="16"/>
        <v>0.83921943552600009</v>
      </c>
      <c r="I356">
        <f t="shared" si="17"/>
        <v>0.70859534792844758</v>
      </c>
      <c r="J356" t="s">
        <v>998</v>
      </c>
      <c r="K356" t="s">
        <v>1536</v>
      </c>
    </row>
    <row r="357" spans="1:11" x14ac:dyDescent="0.3">
      <c r="A357" t="s">
        <v>398</v>
      </c>
      <c r="B357" t="str">
        <f>IF(Calculator!$B$1="NL",Data!K357,Data!J357)</f>
        <v>LUXEMBOURG (PLACE DE)_21009A501</v>
      </c>
      <c r="C357">
        <v>328</v>
      </c>
      <c r="D357">
        <v>67</v>
      </c>
      <c r="E357">
        <v>28.840227840000001</v>
      </c>
      <c r="F357">
        <v>0.37313432835820898</v>
      </c>
      <c r="G357">
        <f t="shared" si="15"/>
        <v>0.20426829268292682</v>
      </c>
      <c r="H357">
        <f t="shared" si="16"/>
        <v>0.36441040230399996</v>
      </c>
      <c r="I357">
        <f t="shared" si="17"/>
        <v>0.25590541274411704</v>
      </c>
      <c r="J357" t="s">
        <v>999</v>
      </c>
      <c r="K357" t="s">
        <v>1537</v>
      </c>
    </row>
    <row r="358" spans="1:11" x14ac:dyDescent="0.3">
      <c r="A358" t="s">
        <v>442</v>
      </c>
      <c r="B358" t="str">
        <f>IF(Calculator!$B$1="NL",Data!K358,Data!J358)</f>
        <v>LYCEE_21007A541</v>
      </c>
      <c r="C358">
        <v>298</v>
      </c>
      <c r="D358">
        <v>158</v>
      </c>
      <c r="E358">
        <v>35.329623259999998</v>
      </c>
      <c r="F358">
        <v>1</v>
      </c>
      <c r="G358">
        <f t="shared" si="15"/>
        <v>0.53020134228187921</v>
      </c>
      <c r="H358">
        <f t="shared" si="16"/>
        <v>0.54676241360599986</v>
      </c>
      <c r="I358">
        <f t="shared" si="17"/>
        <v>0.51155778404674257</v>
      </c>
      <c r="J358" t="s">
        <v>1000</v>
      </c>
      <c r="K358" t="s">
        <v>1538</v>
      </c>
    </row>
    <row r="359" spans="1:11" x14ac:dyDescent="0.3">
      <c r="A359" t="s">
        <v>407</v>
      </c>
      <c r="B359" t="str">
        <f>IF(Calculator!$B$1="NL",Data!K359,Data!J359)</f>
        <v>MACAU_21009A63-</v>
      </c>
      <c r="C359">
        <v>1531</v>
      </c>
      <c r="D359">
        <v>708</v>
      </c>
      <c r="E359">
        <v>37.567832150000001</v>
      </c>
      <c r="F359">
        <v>0.78668941979522189</v>
      </c>
      <c r="G359">
        <f t="shared" si="15"/>
        <v>0.46244284781188766</v>
      </c>
      <c r="H359">
        <f t="shared" si="16"/>
        <v>0.60965608341499999</v>
      </c>
      <c r="I359">
        <f t="shared" si="17"/>
        <v>0.48244451905209945</v>
      </c>
      <c r="J359" t="s">
        <v>1001</v>
      </c>
      <c r="K359" t="s">
        <v>1001</v>
      </c>
    </row>
    <row r="360" spans="1:11" x14ac:dyDescent="0.3">
      <c r="A360" t="s">
        <v>223</v>
      </c>
      <c r="B360" t="str">
        <f>IF(Calculator!$B$1="NL",Data!K360,Data!J360)</f>
        <v>MACHTENS-NORD_21012A26-</v>
      </c>
      <c r="C360">
        <v>1793</v>
      </c>
      <c r="D360">
        <v>1246</v>
      </c>
      <c r="E360">
        <v>34.479994099999999</v>
      </c>
      <c r="F360">
        <v>0.85843920145190566</v>
      </c>
      <c r="G360">
        <f t="shared" si="15"/>
        <v>0.69492470719464583</v>
      </c>
      <c r="H360">
        <f t="shared" si="16"/>
        <v>0.52288783421000007</v>
      </c>
      <c r="I360">
        <f t="shared" si="17"/>
        <v>0.5784609571672068</v>
      </c>
      <c r="J360" t="s">
        <v>1002</v>
      </c>
      <c r="K360" t="s">
        <v>1539</v>
      </c>
    </row>
    <row r="361" spans="1:11" x14ac:dyDescent="0.3">
      <c r="A361" t="s">
        <v>220</v>
      </c>
      <c r="B361" t="str">
        <f>IF(Calculator!$B$1="NL",Data!K361,Data!J361)</f>
        <v>MACHTENS-SUD_21012A23-</v>
      </c>
      <c r="C361">
        <v>1559</v>
      </c>
      <c r="D361">
        <v>1108</v>
      </c>
      <c r="E361">
        <v>34.244562620000004</v>
      </c>
      <c r="F361">
        <v>0.90455531453362259</v>
      </c>
      <c r="G361">
        <f t="shared" si="15"/>
        <v>0.71071199486850545</v>
      </c>
      <c r="H361">
        <f t="shared" si="16"/>
        <v>0.51627220962200004</v>
      </c>
      <c r="I361">
        <f t="shared" si="17"/>
        <v>0.58281749713299014</v>
      </c>
      <c r="J361" t="s">
        <v>1003</v>
      </c>
      <c r="K361" t="s">
        <v>1540</v>
      </c>
    </row>
    <row r="362" spans="1:11" x14ac:dyDescent="0.3">
      <c r="A362" t="s">
        <v>511</v>
      </c>
      <c r="B362" t="str">
        <f>IF(Calculator!$B$1="NL",Data!K362,Data!J362)</f>
        <v>MADELEINE_21010A21-</v>
      </c>
      <c r="C362">
        <v>1627</v>
      </c>
      <c r="D362">
        <v>897</v>
      </c>
      <c r="E362">
        <v>33.67816483</v>
      </c>
      <c r="F362">
        <v>0.88023952095808389</v>
      </c>
      <c r="G362">
        <f t="shared" si="15"/>
        <v>0.55132145052243398</v>
      </c>
      <c r="H362">
        <f t="shared" si="16"/>
        <v>0.50035643172300004</v>
      </c>
      <c r="I362">
        <f t="shared" si="17"/>
        <v>0.49954699406658115</v>
      </c>
      <c r="J362" t="s">
        <v>1004</v>
      </c>
      <c r="K362" t="s">
        <v>1541</v>
      </c>
    </row>
    <row r="363" spans="1:11" x14ac:dyDescent="0.3">
      <c r="A363" t="s">
        <v>249</v>
      </c>
      <c r="B363" t="str">
        <f>IF(Calculator!$B$1="NL",Data!K363,Data!J363)</f>
        <v>MADOU_21014A03-</v>
      </c>
      <c r="C363">
        <v>549</v>
      </c>
      <c r="D363">
        <v>168</v>
      </c>
      <c r="E363">
        <v>26.541470919999998</v>
      </c>
      <c r="F363">
        <v>0.71345029239766078</v>
      </c>
      <c r="G363">
        <f t="shared" si="15"/>
        <v>0.30601092896174864</v>
      </c>
      <c r="H363">
        <f t="shared" si="16"/>
        <v>0.29981533285199996</v>
      </c>
      <c r="I363">
        <f t="shared" si="17"/>
        <v>0.27262181781618688</v>
      </c>
      <c r="J363" t="s">
        <v>1005</v>
      </c>
      <c r="K363" t="s">
        <v>1005</v>
      </c>
    </row>
    <row r="364" spans="1:11" x14ac:dyDescent="0.3">
      <c r="A364" t="s">
        <v>483</v>
      </c>
      <c r="B364" t="str">
        <f>IF(Calculator!$B$1="NL",Data!K364,Data!J364)</f>
        <v>MAELBEEK_21005A031</v>
      </c>
      <c r="C364">
        <v>1022</v>
      </c>
      <c r="D364">
        <v>329</v>
      </c>
      <c r="E364">
        <v>30.888991269999998</v>
      </c>
      <c r="F364">
        <v>0.92647058823529416</v>
      </c>
      <c r="G364">
        <f t="shared" si="15"/>
        <v>0.32191780821917809</v>
      </c>
      <c r="H364">
        <f t="shared" si="16"/>
        <v>0.42198065468699991</v>
      </c>
      <c r="I364">
        <f t="shared" si="17"/>
        <v>0.35335176988043454</v>
      </c>
      <c r="J364" t="s">
        <v>1006</v>
      </c>
      <c r="K364" t="s">
        <v>1542</v>
      </c>
    </row>
    <row r="365" spans="1:11" x14ac:dyDescent="0.3">
      <c r="A365" t="s">
        <v>520</v>
      </c>
      <c r="B365" t="str">
        <f>IF(Calculator!$B$1="NL",Data!K365,Data!J365)</f>
        <v>MAETERLINCK_21015A111</v>
      </c>
      <c r="C365">
        <v>1075</v>
      </c>
      <c r="D365">
        <v>687</v>
      </c>
      <c r="E365">
        <v>41.300192850000002</v>
      </c>
      <c r="F365">
        <v>1.027173913043478</v>
      </c>
      <c r="G365">
        <f t="shared" si="15"/>
        <v>0.6390697674418605</v>
      </c>
      <c r="H365">
        <f t="shared" si="16"/>
        <v>0.71453541908500018</v>
      </c>
      <c r="I365">
        <f t="shared" si="17"/>
        <v>0.67680259326343029</v>
      </c>
      <c r="J365" t="s">
        <v>1007</v>
      </c>
      <c r="K365" t="s">
        <v>1007</v>
      </c>
    </row>
    <row r="366" spans="1:11" x14ac:dyDescent="0.3">
      <c r="A366" t="s">
        <v>432</v>
      </c>
      <c r="B366" t="str">
        <f>IF(Calculator!$B$1="NL",Data!K366,Data!J366)</f>
        <v>MAGNANERIE_21007A21-</v>
      </c>
      <c r="C366">
        <v>290</v>
      </c>
      <c r="D366">
        <v>203</v>
      </c>
      <c r="E366">
        <v>42.946369339999997</v>
      </c>
      <c r="F366">
        <v>0.73170731707317072</v>
      </c>
      <c r="G366">
        <f t="shared" si="15"/>
        <v>0.7</v>
      </c>
      <c r="H366">
        <f t="shared" si="16"/>
        <v>0.76079297845399996</v>
      </c>
      <c r="I366">
        <f t="shared" si="17"/>
        <v>0.65735684030429997</v>
      </c>
      <c r="J366" t="s">
        <v>1008</v>
      </c>
      <c r="K366" t="s">
        <v>1008</v>
      </c>
    </row>
    <row r="367" spans="1:11" x14ac:dyDescent="0.3">
      <c r="A367" t="s">
        <v>338</v>
      </c>
      <c r="B367" t="str">
        <f>IF(Calculator!$B$1="NL",Data!K367,Data!J367)</f>
        <v>MAIL_21008A21-</v>
      </c>
      <c r="C367">
        <v>1126</v>
      </c>
      <c r="D367">
        <v>948</v>
      </c>
      <c r="E367">
        <v>38.291248529999997</v>
      </c>
      <c r="F367">
        <v>0.82499999999999996</v>
      </c>
      <c r="G367">
        <f t="shared" si="15"/>
        <v>0.84191829484902314</v>
      </c>
      <c r="H367">
        <f t="shared" si="16"/>
        <v>0.62998408369299996</v>
      </c>
      <c r="I367">
        <f t="shared" si="17"/>
        <v>0.66235607034391042</v>
      </c>
      <c r="J367" t="s">
        <v>1009</v>
      </c>
      <c r="K367" t="s">
        <v>1009</v>
      </c>
    </row>
    <row r="368" spans="1:11" x14ac:dyDescent="0.3">
      <c r="A368" t="s">
        <v>463</v>
      </c>
      <c r="B368" t="str">
        <f>IF(Calculator!$B$1="NL",Data!K368,Data!J368)</f>
        <v>MAISON COMMUNALE_21006A13-</v>
      </c>
      <c r="C368">
        <v>736</v>
      </c>
      <c r="D368">
        <v>452</v>
      </c>
      <c r="E368">
        <v>37.8351951</v>
      </c>
      <c r="F368">
        <v>1.050847457627119</v>
      </c>
      <c r="G368">
        <f t="shared" si="15"/>
        <v>0.61413043478260865</v>
      </c>
      <c r="H368">
        <f t="shared" si="16"/>
        <v>0.61716898230999995</v>
      </c>
      <c r="I368">
        <f t="shared" si="17"/>
        <v>0.6156497085463043</v>
      </c>
      <c r="J368" t="s">
        <v>1010</v>
      </c>
      <c r="K368" t="s">
        <v>1543</v>
      </c>
    </row>
    <row r="369" spans="1:11" x14ac:dyDescent="0.3">
      <c r="A369" t="s">
        <v>182</v>
      </c>
      <c r="B369" t="str">
        <f>IF(Calculator!$B$1="NL",Data!K369,Data!J369)</f>
        <v>MAISON ROUGE (PLACE)-SUD_21004E72-</v>
      </c>
      <c r="C369">
        <v>2770</v>
      </c>
      <c r="D369">
        <v>1425</v>
      </c>
      <c r="E369">
        <v>40.684764639999997</v>
      </c>
      <c r="F369">
        <v>0.83636363636363631</v>
      </c>
      <c r="G369">
        <f t="shared" si="15"/>
        <v>0.51444043321299637</v>
      </c>
      <c r="H369">
        <f t="shared" si="16"/>
        <v>0.69724188638399998</v>
      </c>
      <c r="I369">
        <f t="shared" si="17"/>
        <v>0.54525704381864837</v>
      </c>
      <c r="J369" t="s">
        <v>1011</v>
      </c>
      <c r="K369" t="s">
        <v>1544</v>
      </c>
    </row>
    <row r="370" spans="1:11" x14ac:dyDescent="0.3">
      <c r="A370" t="s">
        <v>255</v>
      </c>
      <c r="B370" t="str">
        <f>IF(Calculator!$B$1="NL",Data!K370,Data!J370)</f>
        <v>MANHATTAN_21014A3MJ</v>
      </c>
      <c r="C370">
        <v>267</v>
      </c>
      <c r="D370">
        <v>109</v>
      </c>
      <c r="E370">
        <v>26.993518730000002</v>
      </c>
      <c r="F370">
        <v>0.3534136546184739</v>
      </c>
      <c r="G370">
        <f t="shared" si="15"/>
        <v>0.40823970037453183</v>
      </c>
      <c r="H370">
        <f t="shared" si="16"/>
        <v>0.31251787631300004</v>
      </c>
      <c r="I370">
        <f t="shared" si="17"/>
        <v>0.32434090950938932</v>
      </c>
      <c r="J370" t="s">
        <v>1012</v>
      </c>
      <c r="K370" t="s">
        <v>1012</v>
      </c>
    </row>
    <row r="371" spans="1:11" x14ac:dyDescent="0.3">
      <c r="A371" t="s">
        <v>614</v>
      </c>
      <c r="B371" t="str">
        <f>IF(Calculator!$B$1="NL",Data!K371,Data!J371)</f>
        <v>MANOIR_21019A21-</v>
      </c>
      <c r="C371">
        <v>620</v>
      </c>
      <c r="D371">
        <v>606</v>
      </c>
      <c r="E371">
        <v>52.59843454</v>
      </c>
      <c r="F371">
        <v>0.40436590436590442</v>
      </c>
      <c r="G371">
        <f t="shared" si="15"/>
        <v>0.97741935483870968</v>
      </c>
      <c r="H371">
        <f t="shared" si="16"/>
        <v>1.0320160105739999</v>
      </c>
      <c r="I371">
        <f t="shared" si="17"/>
        <v>0.90424591443571944</v>
      </c>
      <c r="J371" t="s">
        <v>1013</v>
      </c>
      <c r="K371" t="s">
        <v>1013</v>
      </c>
    </row>
    <row r="372" spans="1:11" x14ac:dyDescent="0.3">
      <c r="A372" t="s">
        <v>527</v>
      </c>
      <c r="B372" t="str">
        <f>IF(Calculator!$B$1="NL",Data!K372,Data!J372)</f>
        <v>MARBOTIN A. (RUE)_21015A22-</v>
      </c>
      <c r="C372">
        <v>1322</v>
      </c>
      <c r="D372">
        <v>749</v>
      </c>
      <c r="E372">
        <v>37.600231450000003</v>
      </c>
      <c r="F372">
        <v>0.91666666666666663</v>
      </c>
      <c r="G372">
        <f t="shared" si="15"/>
        <v>0.56656580937972767</v>
      </c>
      <c r="H372">
        <f t="shared" si="16"/>
        <v>0.6105665037450001</v>
      </c>
      <c r="I372">
        <f t="shared" si="17"/>
        <v>0.55913784873424566</v>
      </c>
      <c r="J372" t="s">
        <v>1014</v>
      </c>
      <c r="K372" t="s">
        <v>1545</v>
      </c>
    </row>
    <row r="373" spans="1:11" x14ac:dyDescent="0.3">
      <c r="A373" t="s">
        <v>130</v>
      </c>
      <c r="B373" t="str">
        <f>IF(Calculator!$B$1="NL",Data!K373,Data!J373)</f>
        <v>MARCHE AU PORCS_21004A24-</v>
      </c>
      <c r="C373">
        <v>1929</v>
      </c>
      <c r="D373">
        <v>548</v>
      </c>
      <c r="E373">
        <v>30.709326239999999</v>
      </c>
      <c r="F373">
        <v>0.73344651952461803</v>
      </c>
      <c r="G373">
        <f t="shared" si="15"/>
        <v>0.28408501814411613</v>
      </c>
      <c r="H373">
        <f t="shared" si="16"/>
        <v>0.41693206734399996</v>
      </c>
      <c r="I373">
        <f t="shared" si="17"/>
        <v>0.31545768846965228</v>
      </c>
      <c r="J373" t="s">
        <v>1015</v>
      </c>
      <c r="K373" t="s">
        <v>1546</v>
      </c>
    </row>
    <row r="374" spans="1:11" x14ac:dyDescent="0.3">
      <c r="A374" t="s">
        <v>597</v>
      </c>
      <c r="B374" t="str">
        <f>IF(Calculator!$B$1="NL",Data!K374,Data!J374)</f>
        <v>MARIE LA MISERABLE_21018A82-</v>
      </c>
      <c r="C374">
        <v>228</v>
      </c>
      <c r="D374">
        <v>240</v>
      </c>
      <c r="E374">
        <v>38.838328089999997</v>
      </c>
      <c r="F374">
        <v>0.42910447761194032</v>
      </c>
      <c r="G374">
        <f t="shared" si="15"/>
        <v>1.0526315789473684</v>
      </c>
      <c r="H374">
        <f t="shared" si="16"/>
        <v>0.64535701932899991</v>
      </c>
      <c r="I374">
        <f t="shared" si="17"/>
        <v>0.76409486922436576</v>
      </c>
      <c r="J374" t="s">
        <v>1016</v>
      </c>
      <c r="K374" t="s">
        <v>1547</v>
      </c>
    </row>
    <row r="375" spans="1:11" x14ac:dyDescent="0.3">
      <c r="A375" t="s">
        <v>181</v>
      </c>
      <c r="B375" t="str">
        <f>IF(Calculator!$B$1="NL",Data!K375,Data!J375)</f>
        <v>MARIE-CHRISTINE (RUE)_21004E70-</v>
      </c>
      <c r="C375">
        <v>2298</v>
      </c>
      <c r="D375">
        <v>1030</v>
      </c>
      <c r="E375">
        <v>32.27165669</v>
      </c>
      <c r="F375">
        <v>0.83844580777096112</v>
      </c>
      <c r="G375">
        <f t="shared" si="15"/>
        <v>0.44821583986074848</v>
      </c>
      <c r="H375">
        <f t="shared" si="16"/>
        <v>0.46083355298900003</v>
      </c>
      <c r="I375">
        <f t="shared" si="17"/>
        <v>0.40907222678238686</v>
      </c>
      <c r="J375" t="s">
        <v>1017</v>
      </c>
      <c r="K375" t="s">
        <v>1548</v>
      </c>
    </row>
    <row r="376" spans="1:11" x14ac:dyDescent="0.3">
      <c r="A376" t="s">
        <v>218</v>
      </c>
      <c r="B376" t="str">
        <f>IF(Calculator!$B$1="NL",Data!K376,Data!J376)</f>
        <v>MARIE-JOSE BLOCS_21012A21-</v>
      </c>
      <c r="C376">
        <v>622</v>
      </c>
      <c r="D376">
        <v>217</v>
      </c>
      <c r="E376">
        <v>25.309275710000001</v>
      </c>
      <c r="F376">
        <v>0.89473684210526316</v>
      </c>
      <c r="G376">
        <f t="shared" si="15"/>
        <v>0.34887459807073956</v>
      </c>
      <c r="H376">
        <f t="shared" si="16"/>
        <v>0.26519064745100002</v>
      </c>
      <c r="I376">
        <f t="shared" si="17"/>
        <v>0.29168099162282629</v>
      </c>
      <c r="J376" t="s">
        <v>1018</v>
      </c>
      <c r="K376" t="s">
        <v>1549</v>
      </c>
    </row>
    <row r="377" spans="1:11" x14ac:dyDescent="0.3">
      <c r="A377" t="s">
        <v>150</v>
      </c>
      <c r="B377" t="str">
        <f>IF(Calculator!$B$1="NL",Data!K377,Data!J377)</f>
        <v>MARIE-LOUISE (SQUARE)_21004B421</v>
      </c>
      <c r="C377">
        <v>2369</v>
      </c>
      <c r="D377">
        <v>729</v>
      </c>
      <c r="E377">
        <v>29.69631124</v>
      </c>
      <c r="F377">
        <v>0.63453815261044177</v>
      </c>
      <c r="G377">
        <f t="shared" si="15"/>
        <v>0.30772477838750528</v>
      </c>
      <c r="H377">
        <f t="shared" si="16"/>
        <v>0.38846634584400003</v>
      </c>
      <c r="I377">
        <f t="shared" si="17"/>
        <v>0.31328600590417738</v>
      </c>
      <c r="J377" t="s">
        <v>1019</v>
      </c>
      <c r="K377" t="s">
        <v>1550</v>
      </c>
    </row>
    <row r="378" spans="1:11" x14ac:dyDescent="0.3">
      <c r="A378" t="s">
        <v>320</v>
      </c>
      <c r="B378" t="str">
        <f>IF(Calculator!$B$1="NL",Data!K378,Data!J378)</f>
        <v>MARTIN-PECHEUR_21017A523</v>
      </c>
      <c r="C378">
        <v>902</v>
      </c>
      <c r="D378">
        <v>632</v>
      </c>
      <c r="E378">
        <v>40.595758230000001</v>
      </c>
      <c r="F378">
        <v>0.60923076923076924</v>
      </c>
      <c r="G378">
        <f t="shared" si="15"/>
        <v>0.70066518847006654</v>
      </c>
      <c r="H378">
        <f t="shared" si="16"/>
        <v>0.69474080626300005</v>
      </c>
      <c r="I378">
        <f t="shared" si="17"/>
        <v>0.62793269762988002</v>
      </c>
      <c r="J378" t="s">
        <v>1020</v>
      </c>
      <c r="K378" t="s">
        <v>1551</v>
      </c>
    </row>
    <row r="379" spans="1:11" x14ac:dyDescent="0.3">
      <c r="A379" t="s">
        <v>169</v>
      </c>
      <c r="B379" t="str">
        <f>IF(Calculator!$B$1="NL",Data!K379,Data!J379)</f>
        <v>MASUI (PLACE)-NORD_21004D64-</v>
      </c>
      <c r="C379">
        <v>435</v>
      </c>
      <c r="D379">
        <v>209</v>
      </c>
      <c r="E379">
        <v>34.34241025</v>
      </c>
      <c r="F379">
        <v>1.2978723404255319</v>
      </c>
      <c r="G379">
        <f t="shared" si="15"/>
        <v>0.48045977011494251</v>
      </c>
      <c r="H379">
        <f t="shared" si="16"/>
        <v>0.51902172802500002</v>
      </c>
      <c r="I379">
        <f t="shared" si="17"/>
        <v>0.49974074906997124</v>
      </c>
      <c r="J379" t="s">
        <v>1021</v>
      </c>
      <c r="K379" t="s">
        <v>1552</v>
      </c>
    </row>
    <row r="380" spans="1:11" x14ac:dyDescent="0.3">
      <c r="A380" t="s">
        <v>66</v>
      </c>
      <c r="B380" t="str">
        <f>IF(Calculator!$B$1="NL",Data!K380,Data!J380)</f>
        <v>MEERVELD_21001C5PA</v>
      </c>
      <c r="C380">
        <v>749</v>
      </c>
      <c r="D380">
        <v>437</v>
      </c>
      <c r="E380">
        <v>47.860710930000003</v>
      </c>
      <c r="F380">
        <v>0.90957446808510634</v>
      </c>
      <c r="G380">
        <f t="shared" si="15"/>
        <v>0.58344459279038718</v>
      </c>
      <c r="H380">
        <f t="shared" si="16"/>
        <v>0.89888597713300022</v>
      </c>
      <c r="I380">
        <f t="shared" si="17"/>
        <v>0.70410702071360898</v>
      </c>
      <c r="J380" t="s">
        <v>1022</v>
      </c>
      <c r="K380" t="s">
        <v>1022</v>
      </c>
    </row>
    <row r="381" spans="1:11" x14ac:dyDescent="0.3">
      <c r="A381" t="s">
        <v>392</v>
      </c>
      <c r="B381" t="str">
        <f>IF(Calculator!$B$1="NL",Data!K381,Data!J381)</f>
        <v>MELEZES_21009A40-</v>
      </c>
      <c r="C381">
        <v>1196</v>
      </c>
      <c r="D381">
        <v>521</v>
      </c>
      <c r="E381">
        <v>38.872495720000003</v>
      </c>
      <c r="F381">
        <v>0.85991379310344829</v>
      </c>
      <c r="G381">
        <f t="shared" si="15"/>
        <v>0.43561872909698995</v>
      </c>
      <c r="H381">
        <f t="shared" si="16"/>
        <v>0.64631712973200006</v>
      </c>
      <c r="I381">
        <f t="shared" si="17"/>
        <v>0.51391953294377024</v>
      </c>
      <c r="J381" t="s">
        <v>1023</v>
      </c>
      <c r="K381" t="s">
        <v>1553</v>
      </c>
    </row>
    <row r="382" spans="1:11" x14ac:dyDescent="0.3">
      <c r="A382" t="s">
        <v>288</v>
      </c>
      <c r="B382" t="str">
        <f>IF(Calculator!$B$1="NL",Data!K382,Data!J382)</f>
        <v>MELKRIEK_21016A72-</v>
      </c>
      <c r="C382">
        <v>320</v>
      </c>
      <c r="D382">
        <v>236</v>
      </c>
      <c r="E382">
        <v>51.129763339999997</v>
      </c>
      <c r="F382">
        <v>0.66666666666666663</v>
      </c>
      <c r="G382">
        <f t="shared" si="15"/>
        <v>0.73750000000000004</v>
      </c>
      <c r="H382">
        <f t="shared" si="16"/>
        <v>0.9907463498539999</v>
      </c>
      <c r="I382">
        <f t="shared" si="17"/>
        <v>0.77771085743430002</v>
      </c>
      <c r="J382" t="s">
        <v>1024</v>
      </c>
      <c r="K382" t="s">
        <v>1024</v>
      </c>
    </row>
    <row r="383" spans="1:11" x14ac:dyDescent="0.3">
      <c r="A383" t="s">
        <v>286</v>
      </c>
      <c r="B383" t="str">
        <f>IF(Calculator!$B$1="NL",Data!K383,Data!J383)</f>
        <v>MERLO_21016A701</v>
      </c>
      <c r="C383">
        <v>1210</v>
      </c>
      <c r="D383">
        <v>719</v>
      </c>
      <c r="E383">
        <v>41.293990770000001</v>
      </c>
      <c r="F383">
        <v>0.65895953757225434</v>
      </c>
      <c r="G383">
        <f t="shared" si="15"/>
        <v>0.59421487603305789</v>
      </c>
      <c r="H383">
        <f t="shared" si="16"/>
        <v>0.71436114063700007</v>
      </c>
      <c r="I383">
        <f t="shared" si="17"/>
        <v>0.58885920750152609</v>
      </c>
      <c r="J383" t="s">
        <v>1025</v>
      </c>
      <c r="K383" t="s">
        <v>1025</v>
      </c>
    </row>
    <row r="384" spans="1:11" x14ac:dyDescent="0.3">
      <c r="A384" t="s">
        <v>428</v>
      </c>
      <c r="B384" t="str">
        <f>IF(Calculator!$B$1="NL",Data!K384,Data!J384)</f>
        <v>MESSIDOR I_21007A111</v>
      </c>
      <c r="C384">
        <v>203</v>
      </c>
      <c r="D384">
        <v>180</v>
      </c>
      <c r="E384">
        <v>44.199016819999997</v>
      </c>
      <c r="F384">
        <v>0.50824175824175821</v>
      </c>
      <c r="G384">
        <f t="shared" si="15"/>
        <v>0.88669950738916259</v>
      </c>
      <c r="H384">
        <f t="shared" si="16"/>
        <v>0.79599237264199996</v>
      </c>
      <c r="I384">
        <f t="shared" si="17"/>
        <v>0.75721134601402318</v>
      </c>
      <c r="J384" t="s">
        <v>1026</v>
      </c>
      <c r="K384" t="s">
        <v>1026</v>
      </c>
    </row>
    <row r="385" spans="1:11" x14ac:dyDescent="0.3">
      <c r="A385" t="s">
        <v>435</v>
      </c>
      <c r="B385" t="str">
        <f>IF(Calculator!$B$1="NL",Data!K385,Data!J385)</f>
        <v>MESSIDOR II_21007A252</v>
      </c>
      <c r="C385">
        <v>121</v>
      </c>
      <c r="D385">
        <v>46</v>
      </c>
      <c r="E385">
        <v>41.739898480000001</v>
      </c>
      <c r="F385">
        <v>0.3902439024390244</v>
      </c>
      <c r="G385">
        <f t="shared" si="15"/>
        <v>0.38016528925619836</v>
      </c>
      <c r="H385">
        <f t="shared" si="16"/>
        <v>0.72689114728799997</v>
      </c>
      <c r="I385">
        <f t="shared" si="17"/>
        <v>0.49817539644488928</v>
      </c>
      <c r="J385" t="s">
        <v>1027</v>
      </c>
      <c r="K385" t="s">
        <v>1027</v>
      </c>
    </row>
    <row r="386" spans="1:11" x14ac:dyDescent="0.3">
      <c r="A386" t="s">
        <v>359</v>
      </c>
      <c r="B386" t="str">
        <f>IF(Calculator!$B$1="NL",Data!K386,Data!J386)</f>
        <v>METAL (RUE DU)_21013A151</v>
      </c>
      <c r="C386">
        <v>1001</v>
      </c>
      <c r="D386">
        <v>299</v>
      </c>
      <c r="E386">
        <v>31.242456279999999</v>
      </c>
      <c r="F386">
        <v>0.95348837209302328</v>
      </c>
      <c r="G386">
        <f t="shared" ref="G386:G449" si="18">D386/C386</f>
        <v>0.29870129870129869</v>
      </c>
      <c r="H386">
        <f t="shared" si="16"/>
        <v>0.43191302146799998</v>
      </c>
      <c r="I386">
        <f t="shared" si="17"/>
        <v>0.34704180208041691</v>
      </c>
      <c r="J386" t="s">
        <v>1028</v>
      </c>
      <c r="K386" t="s">
        <v>1554</v>
      </c>
    </row>
    <row r="387" spans="1:11" x14ac:dyDescent="0.3">
      <c r="A387" t="s">
        <v>224</v>
      </c>
      <c r="B387" t="str">
        <f>IF(Calculator!$B$1="NL",Data!K387,Data!J387)</f>
        <v>METTEWIE - IDYLLE_21012A30-</v>
      </c>
      <c r="C387">
        <v>1013</v>
      </c>
      <c r="D387">
        <v>640</v>
      </c>
      <c r="E387">
        <v>36.205768390000003</v>
      </c>
      <c r="F387">
        <v>0.78838174273858919</v>
      </c>
      <c r="G387">
        <f t="shared" si="18"/>
        <v>0.63178677196446198</v>
      </c>
      <c r="H387">
        <f t="shared" ref="H387:H450" si="19">0.0281*E387-0.446</f>
        <v>0.57138209175900023</v>
      </c>
      <c r="I387">
        <f t="shared" ref="I387:I450" si="20">(G387+H387)/2*IF(F387&lt;85%,0.9,IF(F387&gt;100%,1,0.95))</f>
        <v>0.54142598867555802</v>
      </c>
      <c r="J387" t="s">
        <v>1029</v>
      </c>
      <c r="K387" t="s">
        <v>1029</v>
      </c>
    </row>
    <row r="388" spans="1:11" x14ac:dyDescent="0.3">
      <c r="A388" t="s">
        <v>243</v>
      </c>
      <c r="B388" t="str">
        <f>IF(Calculator!$B$1="NL",Data!K388,Data!J388)</f>
        <v>METTEWIE-BUILDINGS_21012A84-</v>
      </c>
      <c r="C388">
        <v>935</v>
      </c>
      <c r="D388">
        <v>650</v>
      </c>
      <c r="E388">
        <v>37.495399050000003</v>
      </c>
      <c r="F388">
        <v>0.79807692307692313</v>
      </c>
      <c r="G388">
        <f t="shared" si="18"/>
        <v>0.69518716577540107</v>
      </c>
      <c r="H388">
        <f t="shared" si="19"/>
        <v>0.60762071330500023</v>
      </c>
      <c r="I388">
        <f t="shared" si="20"/>
        <v>0.58626354558618066</v>
      </c>
      <c r="J388" t="s">
        <v>1030</v>
      </c>
      <c r="K388" t="s">
        <v>1030</v>
      </c>
    </row>
    <row r="389" spans="1:11" x14ac:dyDescent="0.3">
      <c r="A389" t="s">
        <v>233</v>
      </c>
      <c r="B389" t="str">
        <f>IF(Calculator!$B$1="NL",Data!K389,Data!J389)</f>
        <v>MEXICO_21012A611</v>
      </c>
      <c r="C389">
        <v>719</v>
      </c>
      <c r="D389">
        <v>342</v>
      </c>
      <c r="E389">
        <v>25.419687440000001</v>
      </c>
      <c r="F389">
        <v>0.94841269841269837</v>
      </c>
      <c r="G389">
        <f t="shared" si="18"/>
        <v>0.4756606397774687</v>
      </c>
      <c r="H389">
        <f t="shared" si="19"/>
        <v>0.26829321706400006</v>
      </c>
      <c r="I389">
        <f t="shared" si="20"/>
        <v>0.35337808199969767</v>
      </c>
      <c r="J389" t="s">
        <v>1031</v>
      </c>
      <c r="K389" t="s">
        <v>1031</v>
      </c>
    </row>
    <row r="390" spans="1:11" x14ac:dyDescent="0.3">
      <c r="A390" t="s">
        <v>608</v>
      </c>
      <c r="B390" t="str">
        <f>IF(Calculator!$B$1="NL",Data!K390,Data!J390)</f>
        <v>MILLE METRES (AVENUE)_21019A11-</v>
      </c>
      <c r="C390">
        <v>428</v>
      </c>
      <c r="D390">
        <v>438</v>
      </c>
      <c r="E390">
        <v>46.289552720000003</v>
      </c>
      <c r="F390">
        <v>0.40189445196211099</v>
      </c>
      <c r="G390">
        <f t="shared" si="18"/>
        <v>1.0233644859813085</v>
      </c>
      <c r="H390">
        <f t="shared" si="19"/>
        <v>0.85473643143200007</v>
      </c>
      <c r="I390">
        <f t="shared" si="20"/>
        <v>0.84514541283598887</v>
      </c>
      <c r="J390" t="s">
        <v>1032</v>
      </c>
      <c r="K390" t="s">
        <v>1555</v>
      </c>
    </row>
    <row r="391" spans="1:11" x14ac:dyDescent="0.3">
      <c r="A391" t="s">
        <v>622</v>
      </c>
      <c r="B391" t="str">
        <f>IF(Calculator!$B$1="NL",Data!K391,Data!J391)</f>
        <v>MIMOSAS (AVENUE)_21019A33-</v>
      </c>
      <c r="C391">
        <v>880</v>
      </c>
      <c r="D391">
        <v>635</v>
      </c>
      <c r="E391">
        <v>36.08355401</v>
      </c>
      <c r="F391">
        <v>0.96927374301675973</v>
      </c>
      <c r="G391">
        <f t="shared" si="18"/>
        <v>0.72159090909090906</v>
      </c>
      <c r="H391">
        <f t="shared" si="19"/>
        <v>0.56794786768100014</v>
      </c>
      <c r="I391">
        <f t="shared" si="20"/>
        <v>0.6125309189666569</v>
      </c>
      <c r="J391" t="s">
        <v>1033</v>
      </c>
      <c r="K391" t="s">
        <v>1556</v>
      </c>
    </row>
    <row r="392" spans="1:11" x14ac:dyDescent="0.3">
      <c r="A392" t="s">
        <v>12</v>
      </c>
      <c r="B392" t="str">
        <f>IF(Calculator!$B$1="NL",Data!K392,Data!J392)</f>
        <v>MINIMES_21001A120</v>
      </c>
      <c r="C392">
        <v>1416</v>
      </c>
      <c r="D392">
        <v>641</v>
      </c>
      <c r="E392">
        <v>33.140900700000003</v>
      </c>
      <c r="F392">
        <v>0.79927667269439417</v>
      </c>
      <c r="G392">
        <f t="shared" si="18"/>
        <v>0.45268361581920902</v>
      </c>
      <c r="H392">
        <f t="shared" si="19"/>
        <v>0.48525930967000003</v>
      </c>
      <c r="I392">
        <f t="shared" si="20"/>
        <v>0.4220743164701441</v>
      </c>
      <c r="J392" t="s">
        <v>1034</v>
      </c>
      <c r="K392" t="s">
        <v>1557</v>
      </c>
    </row>
    <row r="393" spans="1:11" x14ac:dyDescent="0.3">
      <c r="A393" t="s">
        <v>502</v>
      </c>
      <c r="B393" t="str">
        <f>IF(Calculator!$B$1="NL",Data!K393,Data!J393)</f>
        <v>MIROIR_21010A03-</v>
      </c>
      <c r="C393">
        <v>1429</v>
      </c>
      <c r="D393">
        <v>834</v>
      </c>
      <c r="E393">
        <v>35.059499410000001</v>
      </c>
      <c r="F393">
        <v>0.74022346368715086</v>
      </c>
      <c r="G393">
        <f t="shared" si="18"/>
        <v>0.58362491252624216</v>
      </c>
      <c r="H393">
        <f t="shared" si="19"/>
        <v>0.53917193342100012</v>
      </c>
      <c r="I393">
        <f t="shared" si="20"/>
        <v>0.50525858067625895</v>
      </c>
      <c r="J393" t="s">
        <v>1035</v>
      </c>
      <c r="K393" t="s">
        <v>1558</v>
      </c>
    </row>
    <row r="394" spans="1:11" x14ac:dyDescent="0.3">
      <c r="A394" t="s">
        <v>279</v>
      </c>
      <c r="B394" t="str">
        <f>IF(Calculator!$B$1="NL",Data!K394,Data!J394)</f>
        <v>MOENSBERG_21016A533</v>
      </c>
      <c r="C394">
        <v>274</v>
      </c>
      <c r="D394">
        <v>267</v>
      </c>
      <c r="E394">
        <v>45.963026470000003</v>
      </c>
      <c r="F394">
        <v>0.8</v>
      </c>
      <c r="G394">
        <f t="shared" si="18"/>
        <v>0.97445255474452552</v>
      </c>
      <c r="H394">
        <f t="shared" si="19"/>
        <v>0.84556104380700003</v>
      </c>
      <c r="I394">
        <f t="shared" si="20"/>
        <v>0.81900611934818657</v>
      </c>
      <c r="J394" t="s">
        <v>1036</v>
      </c>
      <c r="K394" t="s">
        <v>1036</v>
      </c>
    </row>
    <row r="395" spans="1:11" x14ac:dyDescent="0.3">
      <c r="A395" t="s">
        <v>99</v>
      </c>
      <c r="B395" t="str">
        <f>IF(Calculator!$B$1="NL",Data!K395,Data!J395)</f>
        <v>MOLENBERG_21003A011</v>
      </c>
      <c r="C395">
        <v>628</v>
      </c>
      <c r="D395">
        <v>409</v>
      </c>
      <c r="E395">
        <v>37.643798230000002</v>
      </c>
      <c r="F395">
        <v>0.69526627218934911</v>
      </c>
      <c r="G395">
        <f t="shared" si="18"/>
        <v>0.65127388535031849</v>
      </c>
      <c r="H395">
        <f t="shared" si="19"/>
        <v>0.61179073026300013</v>
      </c>
      <c r="I395">
        <f t="shared" si="20"/>
        <v>0.56837907702599333</v>
      </c>
      <c r="J395" t="s">
        <v>1037</v>
      </c>
      <c r="K395" t="s">
        <v>1037</v>
      </c>
    </row>
    <row r="396" spans="1:11" x14ac:dyDescent="0.3">
      <c r="A396" t="s">
        <v>284</v>
      </c>
      <c r="B396" t="str">
        <f>IF(Calculator!$B$1="NL",Data!K396,Data!J396)</f>
        <v>MOLENSTEEN_21016A64-</v>
      </c>
      <c r="C396">
        <v>868</v>
      </c>
      <c r="D396">
        <v>807</v>
      </c>
      <c r="E396">
        <v>47.671448609999999</v>
      </c>
      <c r="F396">
        <v>0.85536159600997508</v>
      </c>
      <c r="G396">
        <f t="shared" si="18"/>
        <v>0.92972350230414746</v>
      </c>
      <c r="H396">
        <f t="shared" si="19"/>
        <v>0.8935677059410001</v>
      </c>
      <c r="I396">
        <f t="shared" si="20"/>
        <v>0.86606332391644503</v>
      </c>
      <c r="J396" t="s">
        <v>1038</v>
      </c>
      <c r="K396" t="s">
        <v>1038</v>
      </c>
    </row>
    <row r="397" spans="1:11" x14ac:dyDescent="0.3">
      <c r="A397" t="s">
        <v>448</v>
      </c>
      <c r="B397" t="str">
        <f>IF(Calculator!$B$1="NL",Data!K397,Data!J397)</f>
        <v>MOLIERE_21007A72-</v>
      </c>
      <c r="C397">
        <v>2343</v>
      </c>
      <c r="D397">
        <v>1124</v>
      </c>
      <c r="E397">
        <v>33.741131269999997</v>
      </c>
      <c r="F397">
        <v>0.98360655737704916</v>
      </c>
      <c r="G397">
        <f t="shared" si="18"/>
        <v>0.47972684592402903</v>
      </c>
      <c r="H397">
        <f t="shared" si="19"/>
        <v>0.50212578868699986</v>
      </c>
      <c r="I397">
        <f t="shared" si="20"/>
        <v>0.46638000144023872</v>
      </c>
      <c r="J397" t="s">
        <v>1039</v>
      </c>
      <c r="K397" t="s">
        <v>1039</v>
      </c>
    </row>
    <row r="398" spans="1:11" x14ac:dyDescent="0.3">
      <c r="A398" t="s">
        <v>134</v>
      </c>
      <c r="B398" t="str">
        <f>IF(Calculator!$B$1="NL",Data!K398,Data!J398)</f>
        <v>MONNAIE_21004A34-</v>
      </c>
      <c r="C398">
        <v>895</v>
      </c>
      <c r="D398">
        <v>162</v>
      </c>
      <c r="E398">
        <v>28.224252069999999</v>
      </c>
      <c r="F398">
        <v>0.8928571428571429</v>
      </c>
      <c r="G398">
        <f t="shared" si="18"/>
        <v>0.18100558659217877</v>
      </c>
      <c r="H398">
        <f t="shared" si="19"/>
        <v>0.3471014831669999</v>
      </c>
      <c r="I398">
        <f t="shared" si="20"/>
        <v>0.25085085813560987</v>
      </c>
      <c r="J398" t="s">
        <v>1040</v>
      </c>
      <c r="K398" t="s">
        <v>1559</v>
      </c>
    </row>
    <row r="399" spans="1:11" x14ac:dyDescent="0.3">
      <c r="A399" t="s">
        <v>114</v>
      </c>
      <c r="B399" t="str">
        <f>IF(Calculator!$B$1="NL",Data!K399,Data!J399)</f>
        <v>MONNET_21003A41-</v>
      </c>
      <c r="C399">
        <v>346</v>
      </c>
      <c r="D399">
        <v>195</v>
      </c>
      <c r="E399">
        <v>37.259336869999998</v>
      </c>
      <c r="F399">
        <v>13.75</v>
      </c>
      <c r="G399">
        <f t="shared" si="18"/>
        <v>0.56358381502890176</v>
      </c>
      <c r="H399">
        <f t="shared" si="19"/>
        <v>0.60098736604699998</v>
      </c>
      <c r="I399">
        <f t="shared" si="20"/>
        <v>0.58228559053795093</v>
      </c>
      <c r="J399" t="s">
        <v>1041</v>
      </c>
      <c r="K399" t="s">
        <v>1041</v>
      </c>
    </row>
    <row r="400" spans="1:11" x14ac:dyDescent="0.3">
      <c r="A400" t="s">
        <v>430</v>
      </c>
      <c r="B400" t="str">
        <f>IF(Calculator!$B$1="NL",Data!K400,Data!J400)</f>
        <v>MONTE CARLO_21007A142</v>
      </c>
      <c r="C400">
        <v>788</v>
      </c>
      <c r="D400">
        <v>485</v>
      </c>
      <c r="E400">
        <v>32.20065906</v>
      </c>
      <c r="F400">
        <v>0.76377952755905509</v>
      </c>
      <c r="G400">
        <f t="shared" si="18"/>
        <v>0.61548223350253806</v>
      </c>
      <c r="H400">
        <f t="shared" si="19"/>
        <v>0.45883851958600003</v>
      </c>
      <c r="I400">
        <f t="shared" si="20"/>
        <v>0.48344433888984217</v>
      </c>
      <c r="J400" t="s">
        <v>1042</v>
      </c>
      <c r="K400" t="s">
        <v>1042</v>
      </c>
    </row>
    <row r="401" spans="1:11" x14ac:dyDescent="0.3">
      <c r="A401" t="s">
        <v>445</v>
      </c>
      <c r="B401" t="str">
        <f>IF(Calculator!$B$1="NL",Data!K401,Data!J401)</f>
        <v>MONTENEGRO (RUE)_21007A61-</v>
      </c>
      <c r="C401">
        <v>2290</v>
      </c>
      <c r="D401">
        <v>871</v>
      </c>
      <c r="E401">
        <v>36.208325160000001</v>
      </c>
      <c r="F401">
        <v>0.86675126903553301</v>
      </c>
      <c r="G401">
        <f t="shared" si="18"/>
        <v>0.38034934497816592</v>
      </c>
      <c r="H401">
        <f t="shared" si="19"/>
        <v>0.57145393699600011</v>
      </c>
      <c r="I401">
        <f t="shared" si="20"/>
        <v>0.45210655893772883</v>
      </c>
      <c r="J401" t="s">
        <v>1043</v>
      </c>
      <c r="K401" t="s">
        <v>1560</v>
      </c>
    </row>
    <row r="402" spans="1:11" x14ac:dyDescent="0.3">
      <c r="A402" t="s">
        <v>618</v>
      </c>
      <c r="B402" t="str">
        <f>IF(Calculator!$B$1="NL",Data!K402,Data!J402)</f>
        <v>MONTGOLFIER_21019A252</v>
      </c>
      <c r="C402">
        <v>550</v>
      </c>
      <c r="D402">
        <v>565</v>
      </c>
      <c r="E402">
        <v>52.993482319999998</v>
      </c>
      <c r="F402">
        <v>0.79487179487179482</v>
      </c>
      <c r="G402">
        <f t="shared" si="18"/>
        <v>1.0272727272727273</v>
      </c>
      <c r="H402">
        <f t="shared" si="19"/>
        <v>1.0431168531920001</v>
      </c>
      <c r="I402">
        <f t="shared" si="20"/>
        <v>0.93167531120912739</v>
      </c>
      <c r="J402" t="s">
        <v>1044</v>
      </c>
      <c r="K402" t="s">
        <v>1044</v>
      </c>
    </row>
    <row r="403" spans="1:11" x14ac:dyDescent="0.3">
      <c r="A403" t="s">
        <v>225</v>
      </c>
      <c r="B403" t="str">
        <f>IF(Calculator!$B$1="NL",Data!K403,Data!J403)</f>
        <v>MOORTEBEEK_21012A41-</v>
      </c>
      <c r="C403">
        <v>586</v>
      </c>
      <c r="D403">
        <v>485</v>
      </c>
      <c r="E403">
        <v>39.500975369999999</v>
      </c>
      <c r="F403">
        <v>0.79768786127167635</v>
      </c>
      <c r="G403">
        <f t="shared" si="18"/>
        <v>0.82764505119453924</v>
      </c>
      <c r="H403">
        <f t="shared" si="19"/>
        <v>0.66397740789699999</v>
      </c>
      <c r="I403">
        <f t="shared" si="20"/>
        <v>0.67123010659119264</v>
      </c>
      <c r="J403" t="s">
        <v>1045</v>
      </c>
      <c r="K403" t="s">
        <v>1045</v>
      </c>
    </row>
    <row r="404" spans="1:11" x14ac:dyDescent="0.3">
      <c r="A404" t="s">
        <v>40</v>
      </c>
      <c r="B404" t="str">
        <f>IF(Calculator!$B$1="NL",Data!K404,Data!J404)</f>
        <v>MOORTEBEEK_21001A82-</v>
      </c>
      <c r="C404">
        <v>810</v>
      </c>
      <c r="D404">
        <v>492</v>
      </c>
      <c r="E404">
        <v>45.492545999999997</v>
      </c>
      <c r="F404">
        <v>0.65309734513274331</v>
      </c>
      <c r="G404">
        <f t="shared" si="18"/>
        <v>0.6074074074074074</v>
      </c>
      <c r="H404">
        <f t="shared" si="19"/>
        <v>0.8323405425999999</v>
      </c>
      <c r="I404">
        <f t="shared" si="20"/>
        <v>0.64788657750333334</v>
      </c>
      <c r="J404" t="s">
        <v>1046</v>
      </c>
      <c r="K404" t="s">
        <v>1046</v>
      </c>
    </row>
    <row r="405" spans="1:11" x14ac:dyDescent="0.3">
      <c r="A405" t="s">
        <v>374</v>
      </c>
      <c r="B405" t="str">
        <f>IF(Calculator!$B$1="NL",Data!K405,Data!J405)</f>
        <v>MUSEE_21009A02-</v>
      </c>
      <c r="C405">
        <v>1786</v>
      </c>
      <c r="D405">
        <v>559</v>
      </c>
      <c r="E405">
        <v>34.416829730000003</v>
      </c>
      <c r="F405">
        <v>0.88600000000000001</v>
      </c>
      <c r="G405">
        <f t="shared" si="18"/>
        <v>0.31298992161254197</v>
      </c>
      <c r="H405">
        <f t="shared" si="19"/>
        <v>0.52111291541300009</v>
      </c>
      <c r="I405">
        <f t="shared" si="20"/>
        <v>0.39619884758713247</v>
      </c>
      <c r="J405" t="s">
        <v>1047</v>
      </c>
      <c r="K405" t="s">
        <v>1561</v>
      </c>
    </row>
    <row r="406" spans="1:11" x14ac:dyDescent="0.3">
      <c r="A406" t="s">
        <v>179</v>
      </c>
      <c r="B406" t="str">
        <f>IF(Calculator!$B$1="NL",Data!K406,Data!J406)</f>
        <v>MUTSAARD (AVENUE)_21004E222</v>
      </c>
      <c r="C406">
        <v>1394</v>
      </c>
      <c r="D406">
        <v>909</v>
      </c>
      <c r="E406">
        <v>40.72625893</v>
      </c>
      <c r="F406">
        <v>0.59292035398230092</v>
      </c>
      <c r="G406">
        <f t="shared" si="18"/>
        <v>0.65208034433285511</v>
      </c>
      <c r="H406">
        <f t="shared" si="19"/>
        <v>0.69840787593300013</v>
      </c>
      <c r="I406">
        <f t="shared" si="20"/>
        <v>0.60771969911963486</v>
      </c>
      <c r="J406" t="s">
        <v>1752</v>
      </c>
      <c r="K406" t="s">
        <v>1753</v>
      </c>
    </row>
    <row r="407" spans="1:11" x14ac:dyDescent="0.3">
      <c r="A407" t="s">
        <v>240</v>
      </c>
      <c r="B407" t="str">
        <f>IF(Calculator!$B$1="NL",Data!K407,Data!J407)</f>
        <v>MYRTES-NORD_21012A811</v>
      </c>
      <c r="C407">
        <v>354</v>
      </c>
      <c r="D407">
        <v>193</v>
      </c>
      <c r="E407">
        <v>34.254798909999998</v>
      </c>
      <c r="F407">
        <v>0.84472049689440998</v>
      </c>
      <c r="G407">
        <f t="shared" si="18"/>
        <v>0.54519774011299438</v>
      </c>
      <c r="H407">
        <f t="shared" si="19"/>
        <v>0.51655984937099997</v>
      </c>
      <c r="I407">
        <f t="shared" si="20"/>
        <v>0.47779091526779749</v>
      </c>
      <c r="J407" t="s">
        <v>1048</v>
      </c>
      <c r="K407" t="s">
        <v>1562</v>
      </c>
    </row>
    <row r="408" spans="1:11" x14ac:dyDescent="0.3">
      <c r="A408" t="s">
        <v>162</v>
      </c>
      <c r="B408" t="str">
        <f>IF(Calculator!$B$1="NL",Data!K408,Data!J408)</f>
        <v>NATIONS (SQUARE DES)_21004C63-</v>
      </c>
      <c r="C408">
        <v>798</v>
      </c>
      <c r="D408">
        <v>595</v>
      </c>
      <c r="E408">
        <v>41.873421479999998</v>
      </c>
      <c r="F408">
        <v>0.51621621621621616</v>
      </c>
      <c r="G408">
        <f t="shared" si="18"/>
        <v>0.74561403508771928</v>
      </c>
      <c r="H408">
        <f t="shared" si="19"/>
        <v>0.73064314358800009</v>
      </c>
      <c r="I408">
        <f t="shared" si="20"/>
        <v>0.66431573040407377</v>
      </c>
      <c r="J408" t="s">
        <v>1049</v>
      </c>
      <c r="K408" t="s">
        <v>1563</v>
      </c>
    </row>
    <row r="409" spans="1:11" x14ac:dyDescent="0.3">
      <c r="A409" t="s">
        <v>198</v>
      </c>
      <c r="B409" t="str">
        <f>IF(Calculator!$B$1="NL",Data!K409,Data!J409)</f>
        <v>NEDER-HEEMBEEK-NORD_21004F9MJ</v>
      </c>
      <c r="C409">
        <v>436</v>
      </c>
      <c r="D409">
        <v>348</v>
      </c>
      <c r="E409">
        <v>48.12470253</v>
      </c>
      <c r="F409">
        <v>0.33185840707964598</v>
      </c>
      <c r="G409">
        <f t="shared" si="18"/>
        <v>0.79816513761467889</v>
      </c>
      <c r="H409">
        <f t="shared" si="19"/>
        <v>0.90630414109299995</v>
      </c>
      <c r="I409">
        <f t="shared" si="20"/>
        <v>0.76701117541845543</v>
      </c>
      <c r="J409" t="s">
        <v>1050</v>
      </c>
      <c r="K409" t="s">
        <v>1564</v>
      </c>
    </row>
    <row r="410" spans="1:11" x14ac:dyDescent="0.3">
      <c r="A410" t="s">
        <v>228</v>
      </c>
      <c r="B410" t="str">
        <f>IF(Calculator!$B$1="NL",Data!K410,Data!J410)</f>
        <v>NEEP (QUARTIER DU)_21012A52-</v>
      </c>
      <c r="C410">
        <v>1664</v>
      </c>
      <c r="D410">
        <v>966</v>
      </c>
      <c r="E410">
        <v>34.844049300000002</v>
      </c>
      <c r="F410">
        <v>0.79559748427672961</v>
      </c>
      <c r="G410">
        <f t="shared" si="18"/>
        <v>0.58052884615384615</v>
      </c>
      <c r="H410">
        <f t="shared" si="19"/>
        <v>0.53311778532999998</v>
      </c>
      <c r="I410">
        <f t="shared" si="20"/>
        <v>0.50114098416773079</v>
      </c>
      <c r="J410" t="s">
        <v>1051</v>
      </c>
      <c r="K410" t="s">
        <v>1565</v>
      </c>
    </row>
    <row r="411" spans="1:11" x14ac:dyDescent="0.3">
      <c r="A411" t="s">
        <v>424</v>
      </c>
      <c r="B411" t="str">
        <f>IF(Calculator!$B$1="NL",Data!K411,Data!J411)</f>
        <v>NEERSTALLE_21007A05-</v>
      </c>
      <c r="C411">
        <v>369</v>
      </c>
      <c r="D411">
        <v>302</v>
      </c>
      <c r="E411">
        <v>43.706137849999998</v>
      </c>
      <c r="F411">
        <v>0.80225988700564976</v>
      </c>
      <c r="G411">
        <f t="shared" si="18"/>
        <v>0.81842818428184283</v>
      </c>
      <c r="H411">
        <f t="shared" si="19"/>
        <v>0.782142473585</v>
      </c>
      <c r="I411">
        <f t="shared" si="20"/>
        <v>0.72025679604007931</v>
      </c>
      <c r="J411" t="s">
        <v>1052</v>
      </c>
      <c r="K411" t="s">
        <v>1052</v>
      </c>
    </row>
    <row r="412" spans="1:11" x14ac:dyDescent="0.3">
      <c r="A412" t="s">
        <v>581</v>
      </c>
      <c r="B412" t="str">
        <f>IF(Calculator!$B$1="NL",Data!K412,Data!J412)</f>
        <v>NEERVELD_21018A33-</v>
      </c>
      <c r="C412">
        <v>1052</v>
      </c>
      <c r="D412">
        <v>873</v>
      </c>
      <c r="E412">
        <v>38.359590830000002</v>
      </c>
      <c r="F412">
        <v>0.45438282647584971</v>
      </c>
      <c r="G412">
        <f t="shared" si="18"/>
        <v>0.82984790874524716</v>
      </c>
      <c r="H412">
        <f t="shared" si="19"/>
        <v>0.63190450232300011</v>
      </c>
      <c r="I412">
        <f t="shared" si="20"/>
        <v>0.65778858498071124</v>
      </c>
      <c r="J412" t="s">
        <v>1053</v>
      </c>
      <c r="K412" t="s">
        <v>1053</v>
      </c>
    </row>
    <row r="413" spans="1:11" x14ac:dyDescent="0.3">
      <c r="A413" t="s">
        <v>32</v>
      </c>
      <c r="B413" t="str">
        <f>IF(Calculator!$B$1="NL",Data!K413,Data!J413)</f>
        <v>NELLIE MELBA_21001A53-</v>
      </c>
      <c r="C413">
        <v>191</v>
      </c>
      <c r="D413">
        <v>154</v>
      </c>
      <c r="E413">
        <v>37.759762500000001</v>
      </c>
      <c r="F413">
        <v>0.76249999999999996</v>
      </c>
      <c r="G413">
        <f t="shared" si="18"/>
        <v>0.80628272251308897</v>
      </c>
      <c r="H413">
        <f t="shared" si="19"/>
        <v>0.61504932625000008</v>
      </c>
      <c r="I413">
        <f t="shared" si="20"/>
        <v>0.63959942194339015</v>
      </c>
      <c r="J413" t="s">
        <v>1054</v>
      </c>
      <c r="K413" t="s">
        <v>1054</v>
      </c>
    </row>
    <row r="414" spans="1:11" x14ac:dyDescent="0.3">
      <c r="A414" t="s">
        <v>433</v>
      </c>
      <c r="B414" t="str">
        <f>IF(Calculator!$B$1="NL",Data!K414,Data!J414)</f>
        <v>NEPTUNE (AVENUE) I_21007A239</v>
      </c>
      <c r="C414">
        <v>1578</v>
      </c>
      <c r="D414">
        <v>1035</v>
      </c>
      <c r="E414">
        <v>40.17870448</v>
      </c>
      <c r="F414">
        <v>0.88063660477453576</v>
      </c>
      <c r="G414">
        <f t="shared" si="18"/>
        <v>0.655893536121673</v>
      </c>
      <c r="H414">
        <f t="shared" si="19"/>
        <v>0.68302159588800015</v>
      </c>
      <c r="I414">
        <f t="shared" si="20"/>
        <v>0.63598468770459471</v>
      </c>
      <c r="J414" t="s">
        <v>1055</v>
      </c>
      <c r="K414" t="s">
        <v>1566</v>
      </c>
    </row>
    <row r="415" spans="1:11" x14ac:dyDescent="0.3">
      <c r="A415" t="s">
        <v>120</v>
      </c>
      <c r="B415" t="str">
        <f>IF(Calculator!$B$1="NL",Data!K415,Data!J415)</f>
        <v>NOTRE-DAME DE LA CHAPELLE_21004A04-</v>
      </c>
      <c r="C415">
        <v>551</v>
      </c>
      <c r="D415">
        <v>135</v>
      </c>
      <c r="E415">
        <v>34.37932395</v>
      </c>
      <c r="F415">
        <v>0.39662447257383959</v>
      </c>
      <c r="G415">
        <f t="shared" si="18"/>
        <v>0.24500907441016334</v>
      </c>
      <c r="H415">
        <f t="shared" si="19"/>
        <v>0.52005900299500007</v>
      </c>
      <c r="I415">
        <f t="shared" si="20"/>
        <v>0.34428063483232357</v>
      </c>
      <c r="J415" t="s">
        <v>1056</v>
      </c>
      <c r="K415" t="s">
        <v>1567</v>
      </c>
    </row>
    <row r="416" spans="1:11" x14ac:dyDescent="0.3">
      <c r="A416" t="s">
        <v>503</v>
      </c>
      <c r="B416" t="str">
        <f>IF(Calculator!$B$1="NL",Data!K416,Data!J416)</f>
        <v>NOTRE-DAME DE LOURDES_21010A04-</v>
      </c>
      <c r="C416">
        <v>1913</v>
      </c>
      <c r="D416">
        <v>1009</v>
      </c>
      <c r="E416">
        <v>36.82168884</v>
      </c>
      <c r="F416">
        <v>0.84461152882205515</v>
      </c>
      <c r="G416">
        <f t="shared" si="18"/>
        <v>0.52744380554103498</v>
      </c>
      <c r="H416">
        <f t="shared" si="19"/>
        <v>0.58868945640399994</v>
      </c>
      <c r="I416">
        <f t="shared" si="20"/>
        <v>0.50225996787526583</v>
      </c>
      <c r="J416" t="s">
        <v>1057</v>
      </c>
      <c r="K416" t="s">
        <v>1568</v>
      </c>
    </row>
    <row r="417" spans="1:11" x14ac:dyDescent="0.3">
      <c r="A417" t="s">
        <v>488</v>
      </c>
      <c r="B417" t="str">
        <f>IF(Calculator!$B$1="NL",Data!K417,Data!J417)</f>
        <v>NOTRE-DAME DU SACRE-COEUR_21005A11-</v>
      </c>
      <c r="C417">
        <v>1928</v>
      </c>
      <c r="D417">
        <v>892</v>
      </c>
      <c r="E417">
        <v>33.285711640000002</v>
      </c>
      <c r="F417">
        <v>0.95196506550218341</v>
      </c>
      <c r="G417">
        <f t="shared" si="18"/>
        <v>0.46265560165975106</v>
      </c>
      <c r="H417">
        <f t="shared" si="19"/>
        <v>0.48932849708400011</v>
      </c>
      <c r="I417">
        <f t="shared" si="20"/>
        <v>0.45219244690328175</v>
      </c>
      <c r="J417" t="s">
        <v>1058</v>
      </c>
      <c r="K417" t="s">
        <v>1569</v>
      </c>
    </row>
    <row r="418" spans="1:11" x14ac:dyDescent="0.3">
      <c r="A418" t="s">
        <v>129</v>
      </c>
      <c r="B418" t="str">
        <f>IF(Calculator!$B$1="NL",Data!K418,Data!J418)</f>
        <v>NOUVEAU MARCHE AU GRAIN_21004A23-</v>
      </c>
      <c r="C418">
        <v>1577</v>
      </c>
      <c r="D418">
        <v>510</v>
      </c>
      <c r="E418">
        <v>33.064555509999998</v>
      </c>
      <c r="F418">
        <v>0.67603305785123968</v>
      </c>
      <c r="G418">
        <f t="shared" si="18"/>
        <v>0.3233988585922638</v>
      </c>
      <c r="H418">
        <f t="shared" si="19"/>
        <v>0.48311400983099989</v>
      </c>
      <c r="I418">
        <f t="shared" si="20"/>
        <v>0.36293079079046864</v>
      </c>
      <c r="J418" t="s">
        <v>1059</v>
      </c>
      <c r="K418" t="s">
        <v>1570</v>
      </c>
    </row>
    <row r="419" spans="1:11" x14ac:dyDescent="0.3">
      <c r="A419" t="s">
        <v>497</v>
      </c>
      <c r="B419" t="str">
        <f>IF(Calculator!$B$1="NL",Data!K419,Data!J419)</f>
        <v>NOUVELLE AVENUE-SUD_21005A322</v>
      </c>
      <c r="C419">
        <v>152</v>
      </c>
      <c r="D419">
        <v>53</v>
      </c>
      <c r="E419">
        <v>31.87908491</v>
      </c>
      <c r="F419">
        <v>0.97727272727272729</v>
      </c>
      <c r="G419">
        <f t="shared" si="18"/>
        <v>0.34868421052631576</v>
      </c>
      <c r="H419">
        <f t="shared" si="19"/>
        <v>0.44980228597099997</v>
      </c>
      <c r="I419">
        <f t="shared" si="20"/>
        <v>0.37928108583622494</v>
      </c>
      <c r="J419" t="s">
        <v>1060</v>
      </c>
      <c r="K419" t="s">
        <v>1571</v>
      </c>
    </row>
    <row r="420" spans="1:11" x14ac:dyDescent="0.3">
      <c r="A420" t="s">
        <v>461</v>
      </c>
      <c r="B420" t="str">
        <f>IF(Calculator!$B$1="NL",Data!K420,Data!J420)</f>
        <v>OASIS - PROVENCE - LANGUEDOC_21006A11-</v>
      </c>
      <c r="C420">
        <v>327</v>
      </c>
      <c r="D420">
        <v>300</v>
      </c>
      <c r="E420">
        <v>37.985280070000002</v>
      </c>
      <c r="F420">
        <v>1.1146788990825689</v>
      </c>
      <c r="G420">
        <f t="shared" si="18"/>
        <v>0.91743119266055051</v>
      </c>
      <c r="H420">
        <f t="shared" si="19"/>
        <v>0.62138636996700014</v>
      </c>
      <c r="I420">
        <f t="shared" si="20"/>
        <v>0.76940878131377533</v>
      </c>
      <c r="J420" t="s">
        <v>1061</v>
      </c>
      <c r="K420" t="s">
        <v>1572</v>
      </c>
    </row>
    <row r="421" spans="1:11" x14ac:dyDescent="0.3">
      <c r="A421" t="s">
        <v>544</v>
      </c>
      <c r="B421" t="str">
        <f>IF(Calculator!$B$1="NL",Data!K421,Data!J421)</f>
        <v>OPALE_21015A50-</v>
      </c>
      <c r="C421">
        <v>2779</v>
      </c>
      <c r="D421">
        <v>1376</v>
      </c>
      <c r="E421">
        <v>33.213091910000003</v>
      </c>
      <c r="F421">
        <v>0.92150866462793068</v>
      </c>
      <c r="G421">
        <f t="shared" si="18"/>
        <v>0.49514213745951779</v>
      </c>
      <c r="H421">
        <f t="shared" si="19"/>
        <v>0.48728788267100004</v>
      </c>
      <c r="I421">
        <f t="shared" si="20"/>
        <v>0.46665425956199597</v>
      </c>
      <c r="J421" t="s">
        <v>1062</v>
      </c>
      <c r="K421" t="s">
        <v>1573</v>
      </c>
    </row>
    <row r="422" spans="1:11" x14ac:dyDescent="0.3">
      <c r="A422" t="s">
        <v>143</v>
      </c>
      <c r="B422" t="str">
        <f>IF(Calculator!$B$1="NL",Data!K422,Data!J422)</f>
        <v>ORBAN (SQUARE)_21004B10-</v>
      </c>
      <c r="C422">
        <v>405</v>
      </c>
      <c r="D422">
        <v>104</v>
      </c>
      <c r="E422">
        <v>28.295963700000001</v>
      </c>
      <c r="F422">
        <v>0.22039473684210531</v>
      </c>
      <c r="G422">
        <f t="shared" si="18"/>
        <v>0.25679012345679014</v>
      </c>
      <c r="H422">
        <f t="shared" si="19"/>
        <v>0.34911657997000006</v>
      </c>
      <c r="I422">
        <f t="shared" si="20"/>
        <v>0.27265801654205563</v>
      </c>
      <c r="J422" t="s">
        <v>1063</v>
      </c>
      <c r="K422" t="s">
        <v>1574</v>
      </c>
    </row>
    <row r="423" spans="1:11" x14ac:dyDescent="0.3">
      <c r="A423" t="s">
        <v>35</v>
      </c>
      <c r="B423" t="str">
        <f>IF(Calculator!$B$1="NL",Data!K423,Data!J423)</f>
        <v>OSSEGEM_21001A72-</v>
      </c>
      <c r="C423">
        <v>1545</v>
      </c>
      <c r="D423">
        <v>910</v>
      </c>
      <c r="E423">
        <v>33.910262199999998</v>
      </c>
      <c r="F423">
        <v>0.94129979035639411</v>
      </c>
      <c r="G423">
        <f t="shared" si="18"/>
        <v>0.5889967637540453</v>
      </c>
      <c r="H423">
        <f t="shared" si="19"/>
        <v>0.50687836781999995</v>
      </c>
      <c r="I423">
        <f t="shared" si="20"/>
        <v>0.52054068749767157</v>
      </c>
      <c r="J423" t="s">
        <v>1064</v>
      </c>
      <c r="K423" t="s">
        <v>1064</v>
      </c>
    </row>
    <row r="424" spans="1:11" x14ac:dyDescent="0.3">
      <c r="A424" t="s">
        <v>221</v>
      </c>
      <c r="B424" t="str">
        <f>IF(Calculator!$B$1="NL",Data!K424,Data!J424)</f>
        <v>OSSEGHEM_21012A24-</v>
      </c>
      <c r="C424">
        <v>1564</v>
      </c>
      <c r="D424">
        <v>937</v>
      </c>
      <c r="E424">
        <v>33.410146529999999</v>
      </c>
      <c r="F424">
        <v>0.98898071625344353</v>
      </c>
      <c r="G424">
        <f t="shared" si="18"/>
        <v>0.59910485933503832</v>
      </c>
      <c r="H424">
        <f t="shared" si="19"/>
        <v>0.49282511749300001</v>
      </c>
      <c r="I424">
        <f t="shared" si="20"/>
        <v>0.51866673899331817</v>
      </c>
      <c r="J424" t="s">
        <v>1065</v>
      </c>
      <c r="K424" t="s">
        <v>1575</v>
      </c>
    </row>
    <row r="425" spans="1:11" x14ac:dyDescent="0.3">
      <c r="A425" t="s">
        <v>477</v>
      </c>
      <c r="B425" t="str">
        <f>IF(Calculator!$B$1="NL",Data!K425,Data!J425)</f>
        <v>P. DUPONT (RUE)_21006A414</v>
      </c>
      <c r="C425">
        <v>1579</v>
      </c>
      <c r="D425">
        <v>1106</v>
      </c>
      <c r="E425">
        <v>40.730116789999997</v>
      </c>
      <c r="F425">
        <v>0.7192982456140351</v>
      </c>
      <c r="G425">
        <f t="shared" si="18"/>
        <v>0.70044331855604813</v>
      </c>
      <c r="H425">
        <f t="shared" si="19"/>
        <v>0.69851628179900005</v>
      </c>
      <c r="I425">
        <f t="shared" si="20"/>
        <v>0.62953182015977172</v>
      </c>
      <c r="J425" t="s">
        <v>1066</v>
      </c>
      <c r="K425" t="s">
        <v>1576</v>
      </c>
    </row>
    <row r="426" spans="1:11" x14ac:dyDescent="0.3">
      <c r="A426" t="s">
        <v>553</v>
      </c>
      <c r="B426" t="str">
        <f>IF(Calculator!$B$1="NL",Data!K426,Data!J426)</f>
        <v>P. HYMANS (RUE)_21015A70-</v>
      </c>
      <c r="C426">
        <v>894</v>
      </c>
      <c r="D426">
        <v>464</v>
      </c>
      <c r="E426">
        <v>32.413736479999997</v>
      </c>
      <c r="F426">
        <v>0.83227848101265822</v>
      </c>
      <c r="G426">
        <f t="shared" si="18"/>
        <v>0.51901565995525722</v>
      </c>
      <c r="H426">
        <f t="shared" si="19"/>
        <v>0.46482599508799988</v>
      </c>
      <c r="I426">
        <f t="shared" si="20"/>
        <v>0.44272874476946572</v>
      </c>
      <c r="J426" t="s">
        <v>1067</v>
      </c>
      <c r="K426" t="s">
        <v>1577</v>
      </c>
    </row>
    <row r="427" spans="1:11" x14ac:dyDescent="0.3">
      <c r="A427" t="s">
        <v>328</v>
      </c>
      <c r="B427" t="str">
        <f>IF(Calculator!$B$1="NL",Data!K427,Data!J427)</f>
        <v>PAIX (AVENUE DE LA)_21011A10-</v>
      </c>
      <c r="C427">
        <v>1173</v>
      </c>
      <c r="D427">
        <v>727</v>
      </c>
      <c r="E427">
        <v>34.828215120000003</v>
      </c>
      <c r="F427">
        <v>0.92237442922374424</v>
      </c>
      <c r="G427">
        <f t="shared" si="18"/>
        <v>0.61977834612105709</v>
      </c>
      <c r="H427">
        <f t="shared" si="19"/>
        <v>0.53267284487200017</v>
      </c>
      <c r="I427">
        <f t="shared" si="20"/>
        <v>0.54741431572170218</v>
      </c>
      <c r="J427" t="s">
        <v>1068</v>
      </c>
      <c r="K427" t="s">
        <v>1578</v>
      </c>
    </row>
    <row r="428" spans="1:11" x14ac:dyDescent="0.3">
      <c r="A428" t="s">
        <v>540</v>
      </c>
      <c r="B428" t="str">
        <f>IF(Calculator!$B$1="NL",Data!K428,Data!J428)</f>
        <v>PALAIS (RUE DE)_21015A421</v>
      </c>
      <c r="C428">
        <v>781</v>
      </c>
      <c r="D428">
        <v>307</v>
      </c>
      <c r="E428">
        <v>31.250968230000002</v>
      </c>
      <c r="F428">
        <v>0.83171521035598706</v>
      </c>
      <c r="G428">
        <f t="shared" si="18"/>
        <v>0.39308578745198464</v>
      </c>
      <c r="H428">
        <f t="shared" si="19"/>
        <v>0.43215220726300002</v>
      </c>
      <c r="I428">
        <f t="shared" si="20"/>
        <v>0.37135709762174307</v>
      </c>
      <c r="J428" t="s">
        <v>1069</v>
      </c>
      <c r="K428" t="s">
        <v>1579</v>
      </c>
    </row>
    <row r="429" spans="1:11" x14ac:dyDescent="0.3">
      <c r="A429" t="s">
        <v>125</v>
      </c>
      <c r="B429" t="str">
        <f>IF(Calculator!$B$1="NL",Data!K429,Data!J429)</f>
        <v>PALAIS JUSTICE-HOP. ST.-PIERRE_21004A16-</v>
      </c>
      <c r="C429">
        <v>1805</v>
      </c>
      <c r="D429">
        <v>314</v>
      </c>
      <c r="E429">
        <v>30.778529469999999</v>
      </c>
      <c r="F429">
        <v>0.63862928348909653</v>
      </c>
      <c r="G429">
        <f t="shared" si="18"/>
        <v>0.1739612188365651</v>
      </c>
      <c r="H429">
        <f t="shared" si="19"/>
        <v>0.41887667810699997</v>
      </c>
      <c r="I429">
        <f t="shared" si="20"/>
        <v>0.2667770536246043</v>
      </c>
      <c r="J429" t="s">
        <v>1070</v>
      </c>
      <c r="K429" t="s">
        <v>1580</v>
      </c>
    </row>
    <row r="430" spans="1:11" x14ac:dyDescent="0.3">
      <c r="A430" t="s">
        <v>535</v>
      </c>
      <c r="B430" t="str">
        <f>IF(Calculator!$B$1="NL",Data!K430,Data!J430)</f>
        <v>PAQUERETTES (RUE)_21015A34-</v>
      </c>
      <c r="C430">
        <v>713</v>
      </c>
      <c r="D430">
        <v>428</v>
      </c>
      <c r="E430">
        <v>35.626418940000001</v>
      </c>
      <c r="F430">
        <v>0.85145888594164454</v>
      </c>
      <c r="G430">
        <f t="shared" si="18"/>
        <v>0.60028050490883589</v>
      </c>
      <c r="H430">
        <f t="shared" si="19"/>
        <v>0.55510237221400005</v>
      </c>
      <c r="I430">
        <f t="shared" si="20"/>
        <v>0.5488068666333471</v>
      </c>
      <c r="J430" t="s">
        <v>1071</v>
      </c>
      <c r="K430" t="s">
        <v>1581</v>
      </c>
    </row>
    <row r="431" spans="1:11" x14ac:dyDescent="0.3">
      <c r="A431" t="s">
        <v>346</v>
      </c>
      <c r="B431" t="str">
        <f>IF(Calculator!$B$1="NL",Data!K431,Data!J431)</f>
        <v>PARC ALBERT_21008A34-</v>
      </c>
      <c r="C431">
        <v>228</v>
      </c>
      <c r="D431">
        <v>245</v>
      </c>
      <c r="E431">
        <v>42.267236220000001</v>
      </c>
      <c r="F431">
        <v>0.51630434782608692</v>
      </c>
      <c r="G431">
        <f t="shared" si="18"/>
        <v>1.0745614035087718</v>
      </c>
      <c r="H431">
        <f t="shared" si="19"/>
        <v>0.7417093377820001</v>
      </c>
      <c r="I431">
        <f t="shared" si="20"/>
        <v>0.81732183358084742</v>
      </c>
      <c r="J431" t="s">
        <v>1072</v>
      </c>
      <c r="K431" t="s">
        <v>1582</v>
      </c>
    </row>
    <row r="432" spans="1:11" x14ac:dyDescent="0.3">
      <c r="A432" t="s">
        <v>451</v>
      </c>
      <c r="B432" t="str">
        <f>IF(Calculator!$B$1="NL",Data!K432,Data!J432)</f>
        <v>PARC DE FOREST_21007A783</v>
      </c>
      <c r="C432">
        <v>258</v>
      </c>
      <c r="D432">
        <v>136</v>
      </c>
      <c r="E432">
        <v>34.410342149999998</v>
      </c>
      <c r="F432">
        <v>0.70229007633587781</v>
      </c>
      <c r="G432">
        <f t="shared" si="18"/>
        <v>0.52713178294573648</v>
      </c>
      <c r="H432">
        <f t="shared" si="19"/>
        <v>0.52093061441499988</v>
      </c>
      <c r="I432">
        <f t="shared" si="20"/>
        <v>0.47162807881233137</v>
      </c>
      <c r="J432" t="s">
        <v>1073</v>
      </c>
      <c r="K432" t="s">
        <v>1583</v>
      </c>
    </row>
    <row r="433" spans="1:11" x14ac:dyDescent="0.3">
      <c r="A433" t="s">
        <v>79</v>
      </c>
      <c r="B433" t="str">
        <f>IF(Calculator!$B$1="NL",Data!K433,Data!J433)</f>
        <v>PARC DES PRINCES_21002A130</v>
      </c>
      <c r="C433">
        <v>519</v>
      </c>
      <c r="D433">
        <v>648</v>
      </c>
      <c r="E433">
        <v>59.118649949999998</v>
      </c>
      <c r="F433">
        <v>0.45853658536585368</v>
      </c>
      <c r="G433">
        <f t="shared" si="18"/>
        <v>1.2485549132947977</v>
      </c>
      <c r="H433">
        <f t="shared" si="19"/>
        <v>1.2152340635950001</v>
      </c>
      <c r="I433">
        <f t="shared" si="20"/>
        <v>1.108705039600409</v>
      </c>
      <c r="J433" t="s">
        <v>1074</v>
      </c>
      <c r="K433" t="s">
        <v>1584</v>
      </c>
    </row>
    <row r="434" spans="1:11" x14ac:dyDescent="0.3">
      <c r="A434" t="s">
        <v>579</v>
      </c>
      <c r="B434" t="str">
        <f>IF(Calculator!$B$1="NL",Data!K434,Data!J434)</f>
        <v>PARC SCHUMAN_21018A311</v>
      </c>
      <c r="C434">
        <v>1322</v>
      </c>
      <c r="D434">
        <v>833</v>
      </c>
      <c r="E434">
        <v>40.094003139999998</v>
      </c>
      <c r="F434">
        <v>0.79629629629629628</v>
      </c>
      <c r="G434">
        <f t="shared" si="18"/>
        <v>0.63010590015128598</v>
      </c>
      <c r="H434">
        <f t="shared" si="19"/>
        <v>0.68064148823399995</v>
      </c>
      <c r="I434">
        <f t="shared" si="20"/>
        <v>0.58983632477337866</v>
      </c>
      <c r="J434" t="s">
        <v>1075</v>
      </c>
      <c r="K434" t="s">
        <v>1585</v>
      </c>
    </row>
    <row r="435" spans="1:11" x14ac:dyDescent="0.3">
      <c r="A435" t="s">
        <v>356</v>
      </c>
      <c r="B435" t="str">
        <f>IF(Calculator!$B$1="NL",Data!K435,Data!J435)</f>
        <v>PARME (RUE DE)_21013A11-</v>
      </c>
      <c r="C435">
        <v>866</v>
      </c>
      <c r="D435">
        <v>321</v>
      </c>
      <c r="E435">
        <v>31.48360701</v>
      </c>
      <c r="F435">
        <v>0.67704280155642027</v>
      </c>
      <c r="G435">
        <f t="shared" si="18"/>
        <v>0.37066974595842955</v>
      </c>
      <c r="H435">
        <f t="shared" si="19"/>
        <v>0.43868935698100003</v>
      </c>
      <c r="I435">
        <f t="shared" si="20"/>
        <v>0.3642115963227433</v>
      </c>
      <c r="J435" t="s">
        <v>1076</v>
      </c>
      <c r="K435" t="s">
        <v>1586</v>
      </c>
    </row>
    <row r="436" spans="1:11" x14ac:dyDescent="0.3">
      <c r="A436" t="s">
        <v>354</v>
      </c>
      <c r="B436" t="str">
        <f>IF(Calculator!$B$1="NL",Data!K436,Data!J436)</f>
        <v>PARVIS_21013A101</v>
      </c>
      <c r="C436">
        <v>1320</v>
      </c>
      <c r="D436">
        <v>368</v>
      </c>
      <c r="E436">
        <v>28.703470970000001</v>
      </c>
      <c r="F436">
        <v>0.61834319526627224</v>
      </c>
      <c r="G436">
        <f t="shared" si="18"/>
        <v>0.27878787878787881</v>
      </c>
      <c r="H436">
        <f t="shared" si="19"/>
        <v>0.360567534257</v>
      </c>
      <c r="I436">
        <f t="shared" si="20"/>
        <v>0.2877099358701955</v>
      </c>
      <c r="J436" t="s">
        <v>1077</v>
      </c>
      <c r="K436" t="s">
        <v>1587</v>
      </c>
    </row>
    <row r="437" spans="1:11" x14ac:dyDescent="0.3">
      <c r="A437" t="s">
        <v>355</v>
      </c>
      <c r="B437" t="str">
        <f>IF(Calculator!$B$1="NL",Data!K437,Data!J437)</f>
        <v>PARVIS_21013A102</v>
      </c>
      <c r="C437">
        <v>233</v>
      </c>
      <c r="D437">
        <v>52</v>
      </c>
      <c r="E437">
        <v>28.696540519999999</v>
      </c>
      <c r="F437">
        <v>0.57894736842105265</v>
      </c>
      <c r="G437">
        <f t="shared" si="18"/>
        <v>0.22317596566523606</v>
      </c>
      <c r="H437">
        <f t="shared" si="19"/>
        <v>0.36037278861200001</v>
      </c>
      <c r="I437">
        <f t="shared" si="20"/>
        <v>0.26259693942475626</v>
      </c>
      <c r="J437" t="s">
        <v>1078</v>
      </c>
      <c r="K437" t="s">
        <v>1588</v>
      </c>
    </row>
    <row r="438" spans="1:11" x14ac:dyDescent="0.3">
      <c r="A438" t="s">
        <v>172</v>
      </c>
      <c r="B438" t="str">
        <f>IF(Calculator!$B$1="NL",Data!K438,Data!J438)</f>
        <v>PARVIS NOTRE DAME_21004E101</v>
      </c>
      <c r="C438">
        <v>930</v>
      </c>
      <c r="D438">
        <v>412</v>
      </c>
      <c r="E438">
        <v>39.37599814</v>
      </c>
      <c r="F438">
        <v>0.83374083129584353</v>
      </c>
      <c r="G438">
        <f t="shared" si="18"/>
        <v>0.44301075268817203</v>
      </c>
      <c r="H438">
        <f t="shared" si="19"/>
        <v>0.66046554773400001</v>
      </c>
      <c r="I438">
        <f t="shared" si="20"/>
        <v>0.4965643351899775</v>
      </c>
      <c r="J438" t="s">
        <v>1754</v>
      </c>
      <c r="K438" t="s">
        <v>1755</v>
      </c>
    </row>
    <row r="439" spans="1:11" x14ac:dyDescent="0.3">
      <c r="A439" t="s">
        <v>165</v>
      </c>
      <c r="B439" t="str">
        <f>IF(Calculator!$B$1="NL",Data!K439,Data!J439)</f>
        <v>PARVIS SAINT-ROCH_21004D600</v>
      </c>
      <c r="C439">
        <v>564</v>
      </c>
      <c r="D439">
        <v>145</v>
      </c>
      <c r="E439">
        <v>33.71324499</v>
      </c>
      <c r="F439">
        <v>0.58715596330275233</v>
      </c>
      <c r="G439">
        <f t="shared" si="18"/>
        <v>0.25709219858156029</v>
      </c>
      <c r="H439">
        <f t="shared" si="19"/>
        <v>0.50134218421900001</v>
      </c>
      <c r="I439">
        <f t="shared" si="20"/>
        <v>0.34129547226025214</v>
      </c>
      <c r="J439" t="s">
        <v>1079</v>
      </c>
      <c r="K439" t="s">
        <v>1589</v>
      </c>
    </row>
    <row r="440" spans="1:11" x14ac:dyDescent="0.3">
      <c r="A440" t="s">
        <v>532</v>
      </c>
      <c r="B440" t="str">
        <f>IF(Calculator!$B$1="NL",Data!K440,Data!J440)</f>
        <v>PATRIE_21015A31-</v>
      </c>
      <c r="C440">
        <v>1201</v>
      </c>
      <c r="D440">
        <v>537</v>
      </c>
      <c r="E440">
        <v>31.266170970000001</v>
      </c>
      <c r="F440">
        <v>0.8666666666666667</v>
      </c>
      <c r="G440">
        <f t="shared" si="18"/>
        <v>0.44712739383846795</v>
      </c>
      <c r="H440">
        <f t="shared" si="19"/>
        <v>0.43257940425699998</v>
      </c>
      <c r="I440">
        <f t="shared" si="20"/>
        <v>0.41786072909534722</v>
      </c>
      <c r="J440" t="s">
        <v>1080</v>
      </c>
      <c r="K440" t="s">
        <v>1590</v>
      </c>
    </row>
    <row r="441" spans="1:11" x14ac:dyDescent="0.3">
      <c r="A441" t="s">
        <v>276</v>
      </c>
      <c r="B441" t="str">
        <f>IF(Calculator!$B$1="NL",Data!K441,Data!J441)</f>
        <v>PECHERIE_21016A44-</v>
      </c>
      <c r="C441">
        <v>1161</v>
      </c>
      <c r="D441">
        <v>1025</v>
      </c>
      <c r="E441">
        <v>44.298464269999997</v>
      </c>
      <c r="F441">
        <v>0.7504950495049505</v>
      </c>
      <c r="G441">
        <f t="shared" si="18"/>
        <v>0.8828596037898363</v>
      </c>
      <c r="H441">
        <f t="shared" si="19"/>
        <v>0.798786845987</v>
      </c>
      <c r="I441">
        <f t="shared" si="20"/>
        <v>0.75674090239957637</v>
      </c>
      <c r="J441" t="s">
        <v>1081</v>
      </c>
      <c r="K441" t="s">
        <v>1591</v>
      </c>
    </row>
    <row r="442" spans="1:11" x14ac:dyDescent="0.3">
      <c r="A442" t="s">
        <v>323</v>
      </c>
      <c r="B442" t="str">
        <f>IF(Calculator!$B$1="NL",Data!K442,Data!J442)</f>
        <v>PECHERIES_21017A624</v>
      </c>
      <c r="C442">
        <v>675</v>
      </c>
      <c r="D442">
        <v>448</v>
      </c>
      <c r="E442">
        <v>40.192120510000002</v>
      </c>
      <c r="F442">
        <v>0.78074866310160429</v>
      </c>
      <c r="G442">
        <f t="shared" si="18"/>
        <v>0.66370370370370368</v>
      </c>
      <c r="H442">
        <f t="shared" si="19"/>
        <v>0.68339858633100015</v>
      </c>
      <c r="I442">
        <f t="shared" si="20"/>
        <v>0.60619603051561677</v>
      </c>
      <c r="J442" t="s">
        <v>1082</v>
      </c>
      <c r="K442" t="s">
        <v>1592</v>
      </c>
    </row>
    <row r="443" spans="1:11" x14ac:dyDescent="0.3">
      <c r="A443" t="s">
        <v>97</v>
      </c>
      <c r="B443" t="str">
        <f>IF(Calculator!$B$1="NL",Data!K443,Data!J443)</f>
        <v>PECHERIES_21002A53-</v>
      </c>
      <c r="C443">
        <v>736</v>
      </c>
      <c r="D443">
        <v>493</v>
      </c>
      <c r="E443">
        <v>39.825089820000002</v>
      </c>
      <c r="F443">
        <v>0.90109890109890112</v>
      </c>
      <c r="G443">
        <f t="shared" si="18"/>
        <v>0.66983695652173914</v>
      </c>
      <c r="H443">
        <f t="shared" si="19"/>
        <v>0.67308502394200009</v>
      </c>
      <c r="I443">
        <f t="shared" si="20"/>
        <v>0.6378879407202761</v>
      </c>
      <c r="J443" t="s">
        <v>1083</v>
      </c>
      <c r="K443" t="s">
        <v>1593</v>
      </c>
    </row>
    <row r="444" spans="1:11" x14ac:dyDescent="0.3">
      <c r="A444" t="s">
        <v>41</v>
      </c>
      <c r="B444" t="str">
        <f>IF(Calculator!$B$1="NL",Data!K444,Data!J444)</f>
        <v>PETERBOS_21001A83-</v>
      </c>
      <c r="C444">
        <v>1158</v>
      </c>
      <c r="D444">
        <v>406</v>
      </c>
      <c r="E444">
        <v>38.603450940000002</v>
      </c>
      <c r="F444">
        <v>0.62809917355371903</v>
      </c>
      <c r="G444">
        <f t="shared" si="18"/>
        <v>0.35060449050086356</v>
      </c>
      <c r="H444">
        <f t="shared" si="19"/>
        <v>0.63875697141400001</v>
      </c>
      <c r="I444">
        <f t="shared" si="20"/>
        <v>0.44521265786168862</v>
      </c>
      <c r="J444" t="s">
        <v>1084</v>
      </c>
      <c r="K444" t="s">
        <v>1084</v>
      </c>
    </row>
    <row r="445" spans="1:11" x14ac:dyDescent="0.3">
      <c r="A445" t="s">
        <v>122</v>
      </c>
      <c r="B445" t="str">
        <f>IF(Calculator!$B$1="NL",Data!K445,Data!J445)</f>
        <v>PETIT SABLON_21004A13-</v>
      </c>
      <c r="C445">
        <v>660</v>
      </c>
      <c r="D445">
        <v>270</v>
      </c>
      <c r="E445">
        <v>28.651787580000001</v>
      </c>
      <c r="F445">
        <v>0.28820375335120652</v>
      </c>
      <c r="G445">
        <f t="shared" si="18"/>
        <v>0.40909090909090912</v>
      </c>
      <c r="H445">
        <f t="shared" si="19"/>
        <v>0.35911523099799997</v>
      </c>
      <c r="I445">
        <f t="shared" si="20"/>
        <v>0.34569276304000912</v>
      </c>
      <c r="J445" t="s">
        <v>1085</v>
      </c>
      <c r="K445" t="s">
        <v>1594</v>
      </c>
    </row>
    <row r="446" spans="1:11" x14ac:dyDescent="0.3">
      <c r="A446" t="s">
        <v>63</v>
      </c>
      <c r="B446" t="str">
        <f>IF(Calculator!$B$1="NL",Data!K446,Data!J446)</f>
        <v>PETITE ILE- RIVE DROITE_21001B3MJ</v>
      </c>
      <c r="C446">
        <v>650</v>
      </c>
      <c r="D446">
        <v>379</v>
      </c>
      <c r="E446">
        <v>44.390927130000001</v>
      </c>
      <c r="F446">
        <v>0.39153439153439151</v>
      </c>
      <c r="G446">
        <f t="shared" si="18"/>
        <v>0.58307692307692305</v>
      </c>
      <c r="H446">
        <f t="shared" si="19"/>
        <v>0.80138505235300017</v>
      </c>
      <c r="I446">
        <f t="shared" si="20"/>
        <v>0.62300788894346548</v>
      </c>
      <c r="J446" t="s">
        <v>1595</v>
      </c>
      <c r="K446" t="s">
        <v>1596</v>
      </c>
    </row>
    <row r="447" spans="1:11" x14ac:dyDescent="0.3">
      <c r="A447" t="s">
        <v>383</v>
      </c>
      <c r="B447" t="str">
        <f>IF(Calculator!$B$1="NL",Data!K447,Data!J447)</f>
        <v>PETITE SUISSE (PLACE DE LA)_21009A20-</v>
      </c>
      <c r="C447">
        <v>1852</v>
      </c>
      <c r="D447">
        <v>627</v>
      </c>
      <c r="E447">
        <v>35.538437530000003</v>
      </c>
      <c r="F447">
        <v>0.82067851373182554</v>
      </c>
      <c r="G447">
        <f t="shared" si="18"/>
        <v>0.33855291576673868</v>
      </c>
      <c r="H447">
        <f t="shared" si="19"/>
        <v>0.55263009459300005</v>
      </c>
      <c r="I447">
        <f t="shared" si="20"/>
        <v>0.40103235466188242</v>
      </c>
      <c r="J447" t="s">
        <v>1086</v>
      </c>
      <c r="K447" t="s">
        <v>1597</v>
      </c>
    </row>
    <row r="448" spans="1:11" x14ac:dyDescent="0.3">
      <c r="A448" t="s">
        <v>231</v>
      </c>
      <c r="B448" t="str">
        <f>IF(Calculator!$B$1="NL",Data!K448,Data!J448)</f>
        <v>PFEIFFER_21012A552</v>
      </c>
      <c r="C448">
        <v>592</v>
      </c>
      <c r="D448">
        <v>329</v>
      </c>
      <c r="E448">
        <v>33.738225319999998</v>
      </c>
      <c r="F448">
        <v>0.8571428571428571</v>
      </c>
      <c r="G448">
        <f t="shared" si="18"/>
        <v>0.5557432432432432</v>
      </c>
      <c r="H448">
        <f t="shared" si="19"/>
        <v>0.50204413149199989</v>
      </c>
      <c r="I448">
        <f t="shared" si="20"/>
        <v>0.50244900299924045</v>
      </c>
      <c r="J448" t="s">
        <v>1087</v>
      </c>
      <c r="K448" t="s">
        <v>1087</v>
      </c>
    </row>
    <row r="449" spans="1:11" x14ac:dyDescent="0.3">
      <c r="A449" t="s">
        <v>484</v>
      </c>
      <c r="B449" t="str">
        <f>IF(Calculator!$B$1="NL",Data!K449,Data!J449)</f>
        <v>PH. BAUCQ (RUE)_21005A042</v>
      </c>
      <c r="C449">
        <v>2532</v>
      </c>
      <c r="D449">
        <v>946</v>
      </c>
      <c r="E449">
        <v>35.958113879999999</v>
      </c>
      <c r="F449">
        <v>0.91122715404699739</v>
      </c>
      <c r="G449">
        <f t="shared" si="18"/>
        <v>0.3736176935229068</v>
      </c>
      <c r="H449">
        <f t="shared" si="19"/>
        <v>0.56442300002799994</v>
      </c>
      <c r="I449">
        <f t="shared" si="20"/>
        <v>0.44556932943668065</v>
      </c>
      <c r="J449" t="s">
        <v>1088</v>
      </c>
      <c r="K449" t="s">
        <v>1598</v>
      </c>
    </row>
    <row r="450" spans="1:11" x14ac:dyDescent="0.3">
      <c r="A450" t="s">
        <v>237</v>
      </c>
      <c r="B450" t="str">
        <f>IF(Calculator!$B$1="NL",Data!K450,Data!J450)</f>
        <v>PIERS_21012A71-</v>
      </c>
      <c r="C450">
        <v>1510</v>
      </c>
      <c r="D450">
        <v>631</v>
      </c>
      <c r="E450">
        <v>26.923972110000001</v>
      </c>
      <c r="F450">
        <v>0.83582089552238803</v>
      </c>
      <c r="G450">
        <f t="shared" ref="G450:G513" si="21">D450/C450</f>
        <v>0.41788079470198675</v>
      </c>
      <c r="H450">
        <f t="shared" si="19"/>
        <v>0.31056361629099999</v>
      </c>
      <c r="I450">
        <f t="shared" si="20"/>
        <v>0.32779998494684404</v>
      </c>
      <c r="J450" t="s">
        <v>1089</v>
      </c>
      <c r="K450" t="s">
        <v>1089</v>
      </c>
    </row>
    <row r="451" spans="1:11" x14ac:dyDescent="0.3">
      <c r="A451" t="s">
        <v>192</v>
      </c>
      <c r="B451" t="str">
        <f>IF(Calculator!$B$1="NL",Data!K451,Data!J451)</f>
        <v>PLACE PETER BENOIT_21004F901</v>
      </c>
      <c r="C451">
        <v>808</v>
      </c>
      <c r="D451">
        <v>622</v>
      </c>
      <c r="E451">
        <v>43.941811540000003</v>
      </c>
      <c r="F451">
        <v>0.80533333333333335</v>
      </c>
      <c r="G451">
        <f t="shared" si="21"/>
        <v>0.76980198019801982</v>
      </c>
      <c r="H451">
        <f t="shared" ref="H451:H514" si="22">0.0281*E451-0.446</f>
        <v>0.78876490427400014</v>
      </c>
      <c r="I451">
        <f t="shared" ref="I451:I514" si="23">(G451+H451)/2*IF(F451&lt;85%,0.9,IF(F451&gt;100%,1,0.95))</f>
        <v>0.70135509801240903</v>
      </c>
      <c r="J451" t="s">
        <v>1090</v>
      </c>
      <c r="K451" t="s">
        <v>1599</v>
      </c>
    </row>
    <row r="452" spans="1:11" x14ac:dyDescent="0.3">
      <c r="A452" t="s">
        <v>246</v>
      </c>
      <c r="B452" t="str">
        <f>IF(Calculator!$B$1="NL",Data!K452,Data!J452)</f>
        <v>PLACE SAINT-JOSSE_21014A00-</v>
      </c>
      <c r="C452">
        <v>1624</v>
      </c>
      <c r="D452">
        <v>491</v>
      </c>
      <c r="E452">
        <v>30.319922900000002</v>
      </c>
      <c r="F452">
        <v>0.80104712041884818</v>
      </c>
      <c r="G452">
        <f t="shared" si="21"/>
        <v>0.30233990147783252</v>
      </c>
      <c r="H452">
        <f t="shared" si="22"/>
        <v>0.40598983349000001</v>
      </c>
      <c r="I452">
        <f t="shared" si="23"/>
        <v>0.31874838073552469</v>
      </c>
      <c r="J452" t="s">
        <v>1091</v>
      </c>
      <c r="K452" t="s">
        <v>1600</v>
      </c>
    </row>
    <row r="453" spans="1:11" x14ac:dyDescent="0.3">
      <c r="A453" t="s">
        <v>331</v>
      </c>
      <c r="B453" t="str">
        <f>IF(Calculator!$B$1="NL",Data!K453,Data!J453)</f>
        <v>PLATEAU_21011A20-</v>
      </c>
      <c r="C453">
        <v>1770</v>
      </c>
      <c r="D453">
        <v>989</v>
      </c>
      <c r="E453">
        <v>32.129578440000003</v>
      </c>
      <c r="F453">
        <v>0.87547892720306508</v>
      </c>
      <c r="G453">
        <f t="shared" si="21"/>
        <v>0.55875706214689269</v>
      </c>
      <c r="H453">
        <f t="shared" si="22"/>
        <v>0.45684115416400012</v>
      </c>
      <c r="I453">
        <f t="shared" si="23"/>
        <v>0.48240915274767404</v>
      </c>
      <c r="J453" t="s">
        <v>1092</v>
      </c>
      <c r="K453" t="s">
        <v>1092</v>
      </c>
    </row>
    <row r="454" spans="1:11" x14ac:dyDescent="0.3">
      <c r="A454" t="s">
        <v>336</v>
      </c>
      <c r="B454" t="str">
        <f>IF(Calculator!$B$1="NL",Data!K454,Data!J454)</f>
        <v>PLATEAU_21008A10-</v>
      </c>
      <c r="C454">
        <v>1484</v>
      </c>
      <c r="D454">
        <v>885</v>
      </c>
      <c r="E454">
        <v>31.858529040000001</v>
      </c>
      <c r="F454">
        <v>0.86898669396110539</v>
      </c>
      <c r="G454">
        <f t="shared" si="21"/>
        <v>0.59636118598382748</v>
      </c>
      <c r="H454">
        <f t="shared" si="22"/>
        <v>0.44922466602399996</v>
      </c>
      <c r="I454">
        <f t="shared" si="23"/>
        <v>0.49665327970371798</v>
      </c>
      <c r="J454" t="s">
        <v>1093</v>
      </c>
      <c r="K454" t="s">
        <v>1093</v>
      </c>
    </row>
    <row r="455" spans="1:11" x14ac:dyDescent="0.3">
      <c r="A455" t="s">
        <v>42</v>
      </c>
      <c r="B455" t="str">
        <f>IF(Calculator!$B$1="NL",Data!K455,Data!J455)</f>
        <v>POESIE_21001A84-</v>
      </c>
      <c r="C455">
        <v>477</v>
      </c>
      <c r="D455">
        <v>369</v>
      </c>
      <c r="E455">
        <v>37.050039179999999</v>
      </c>
      <c r="F455">
        <v>0.78797468354430378</v>
      </c>
      <c r="G455">
        <f t="shared" si="21"/>
        <v>0.77358490566037741</v>
      </c>
      <c r="H455">
        <f t="shared" si="22"/>
        <v>0.59510610095800009</v>
      </c>
      <c r="I455">
        <f t="shared" si="23"/>
        <v>0.61591095297826992</v>
      </c>
      <c r="J455" t="s">
        <v>1094</v>
      </c>
      <c r="K455" t="s">
        <v>1601</v>
      </c>
    </row>
    <row r="456" spans="1:11" x14ac:dyDescent="0.3">
      <c r="A456" t="s">
        <v>436</v>
      </c>
      <c r="B456" t="str">
        <f>IF(Calculator!$B$1="NL",Data!K456,Data!J456)</f>
        <v>PONT DE LUTTRE_21007A40-</v>
      </c>
      <c r="C456">
        <v>879</v>
      </c>
      <c r="D456">
        <v>417</v>
      </c>
      <c r="E456">
        <v>32.604294420000002</v>
      </c>
      <c r="F456">
        <v>0.92838196286472152</v>
      </c>
      <c r="G456">
        <f t="shared" si="21"/>
        <v>0.47440273037542663</v>
      </c>
      <c r="H456">
        <f t="shared" si="22"/>
        <v>0.47018067320200002</v>
      </c>
      <c r="I456">
        <f t="shared" si="23"/>
        <v>0.44867711669927762</v>
      </c>
      <c r="J456" t="s">
        <v>1095</v>
      </c>
      <c r="K456" t="s">
        <v>1602</v>
      </c>
    </row>
    <row r="457" spans="1:11" x14ac:dyDescent="0.3">
      <c r="A457" t="s">
        <v>437</v>
      </c>
      <c r="B457" t="str">
        <f>IF(Calculator!$B$1="NL",Data!K457,Data!J457)</f>
        <v>PONT DE LUTTRE-OUEST_21007A41-</v>
      </c>
      <c r="C457">
        <v>184</v>
      </c>
      <c r="D457">
        <v>106</v>
      </c>
      <c r="E457">
        <v>31.318169269999999</v>
      </c>
      <c r="F457">
        <v>0.86956521739130432</v>
      </c>
      <c r="G457">
        <f t="shared" si="21"/>
        <v>0.57608695652173914</v>
      </c>
      <c r="H457">
        <f t="shared" si="22"/>
        <v>0.43404055648699996</v>
      </c>
      <c r="I457">
        <f t="shared" si="23"/>
        <v>0.47981056867915101</v>
      </c>
      <c r="J457" t="s">
        <v>1096</v>
      </c>
      <c r="K457" t="s">
        <v>1603</v>
      </c>
    </row>
    <row r="458" spans="1:11" x14ac:dyDescent="0.3">
      <c r="A458" t="s">
        <v>10</v>
      </c>
      <c r="B458" t="str">
        <f>IF(Calculator!$B$1="NL",Data!K458,Data!J458)</f>
        <v>PORSELEIN_21001A10-</v>
      </c>
      <c r="C458">
        <v>463</v>
      </c>
      <c r="D458">
        <v>223</v>
      </c>
      <c r="E458">
        <v>27.656606920000002</v>
      </c>
      <c r="F458">
        <v>0.71897810218978098</v>
      </c>
      <c r="G458">
        <f t="shared" si="21"/>
        <v>0.4816414686825054</v>
      </c>
      <c r="H458">
        <f t="shared" si="22"/>
        <v>0.33115065445200004</v>
      </c>
      <c r="I458">
        <f t="shared" si="23"/>
        <v>0.36575645541052748</v>
      </c>
      <c r="J458" t="s">
        <v>1097</v>
      </c>
      <c r="K458" t="s">
        <v>1097</v>
      </c>
    </row>
    <row r="459" spans="1:11" x14ac:dyDescent="0.3">
      <c r="A459" t="s">
        <v>522</v>
      </c>
      <c r="B459" t="str">
        <f>IF(Calculator!$B$1="NL",Data!K459,Data!J459)</f>
        <v>PORTAELS (RUE)_21015A13-</v>
      </c>
      <c r="C459">
        <v>858</v>
      </c>
      <c r="D459">
        <v>415</v>
      </c>
      <c r="E459">
        <v>30.742910729999998</v>
      </c>
      <c r="F459">
        <v>0.78457446808510634</v>
      </c>
      <c r="G459">
        <f t="shared" si="21"/>
        <v>0.48368298368298368</v>
      </c>
      <c r="H459">
        <f t="shared" si="22"/>
        <v>0.41787579151299997</v>
      </c>
      <c r="I459">
        <f t="shared" si="23"/>
        <v>0.4057014488381927</v>
      </c>
      <c r="J459" t="s">
        <v>1098</v>
      </c>
      <c r="K459" t="s">
        <v>1604</v>
      </c>
    </row>
    <row r="460" spans="1:11" x14ac:dyDescent="0.3">
      <c r="A460" t="s">
        <v>403</v>
      </c>
      <c r="B460" t="str">
        <f>IF(Calculator!$B$1="NL",Data!K460,Data!J460)</f>
        <v>PORTE DE NAMUR_21009A552</v>
      </c>
      <c r="C460">
        <v>974</v>
      </c>
      <c r="D460">
        <v>239</v>
      </c>
      <c r="E460">
        <v>25.89496183</v>
      </c>
      <c r="F460">
        <v>0.4567901234567901</v>
      </c>
      <c r="G460">
        <f t="shared" si="21"/>
        <v>0.24537987679671458</v>
      </c>
      <c r="H460">
        <f t="shared" si="22"/>
        <v>0.28164842742299995</v>
      </c>
      <c r="I460">
        <f t="shared" si="23"/>
        <v>0.23716273689887157</v>
      </c>
      <c r="J460" t="s">
        <v>1099</v>
      </c>
      <c r="K460" t="s">
        <v>1605</v>
      </c>
    </row>
    <row r="461" spans="1:11" x14ac:dyDescent="0.3">
      <c r="A461" t="s">
        <v>494</v>
      </c>
      <c r="B461" t="str">
        <f>IF(Calculator!$B$1="NL",Data!K461,Data!J461)</f>
        <v>PORTE DE TERVUEREN - BRAFFORT_21005A21-</v>
      </c>
      <c r="C461">
        <v>470</v>
      </c>
      <c r="D461">
        <v>185</v>
      </c>
      <c r="E461">
        <v>29.926889119999998</v>
      </c>
      <c r="F461">
        <v>0.99</v>
      </c>
      <c r="G461">
        <f t="shared" si="21"/>
        <v>0.39361702127659576</v>
      </c>
      <c r="H461">
        <f t="shared" si="22"/>
        <v>0.39494558427199994</v>
      </c>
      <c r="I461">
        <f t="shared" si="23"/>
        <v>0.37456723763558292</v>
      </c>
      <c r="J461" t="s">
        <v>1100</v>
      </c>
      <c r="K461" t="s">
        <v>1606</v>
      </c>
    </row>
    <row r="462" spans="1:11" x14ac:dyDescent="0.3">
      <c r="A462" t="s">
        <v>495</v>
      </c>
      <c r="B462" t="str">
        <f>IF(Calculator!$B$1="NL",Data!K462,Data!J462)</f>
        <v>PORTE DE TERVUEREN - L. DE LANTSHEERE (RUE)_21005A22-</v>
      </c>
      <c r="C462">
        <v>633</v>
      </c>
      <c r="D462">
        <v>281</v>
      </c>
      <c r="E462">
        <v>33.282291270000002</v>
      </c>
      <c r="F462">
        <v>0.79389312977099236</v>
      </c>
      <c r="G462">
        <f t="shared" si="21"/>
        <v>0.44391785150078988</v>
      </c>
      <c r="H462">
        <f t="shared" si="22"/>
        <v>0.48923238468700009</v>
      </c>
      <c r="I462">
        <f t="shared" si="23"/>
        <v>0.41991760628450547</v>
      </c>
      <c r="J462" t="s">
        <v>1607</v>
      </c>
      <c r="K462" t="s">
        <v>1608</v>
      </c>
    </row>
    <row r="463" spans="1:11" x14ac:dyDescent="0.3">
      <c r="A463" t="s">
        <v>493</v>
      </c>
      <c r="B463" t="str">
        <f>IF(Calculator!$B$1="NL",Data!K463,Data!J463)</f>
        <v>PORTE DE TERVUEREN - TONGRES_21005A20-</v>
      </c>
      <c r="C463">
        <v>1167</v>
      </c>
      <c r="D463">
        <v>452</v>
      </c>
      <c r="E463">
        <v>24.725839579999999</v>
      </c>
      <c r="F463">
        <v>0.61047835990888377</v>
      </c>
      <c r="G463">
        <f t="shared" si="21"/>
        <v>0.38731790916880893</v>
      </c>
      <c r="H463">
        <f t="shared" si="22"/>
        <v>0.24879609219799997</v>
      </c>
      <c r="I463">
        <f t="shared" si="23"/>
        <v>0.28625130061506404</v>
      </c>
      <c r="J463" t="s">
        <v>1101</v>
      </c>
      <c r="K463" t="s">
        <v>1609</v>
      </c>
    </row>
    <row r="464" spans="1:11" x14ac:dyDescent="0.3">
      <c r="A464" t="s">
        <v>110</v>
      </c>
      <c r="B464" t="str">
        <f>IF(Calculator!$B$1="NL",Data!K464,Data!J464)</f>
        <v>POTAARDE  VLAK_21003A312</v>
      </c>
      <c r="C464">
        <v>837</v>
      </c>
      <c r="D464">
        <v>836</v>
      </c>
      <c r="E464">
        <v>45.514611950000003</v>
      </c>
      <c r="F464">
        <v>0.52670807453416146</v>
      </c>
      <c r="G464">
        <f t="shared" si="21"/>
        <v>0.99880525686977295</v>
      </c>
      <c r="H464">
        <f t="shared" si="22"/>
        <v>0.83296059579500015</v>
      </c>
      <c r="I464">
        <f t="shared" si="23"/>
        <v>0.82429463369914791</v>
      </c>
      <c r="J464" t="s">
        <v>1102</v>
      </c>
      <c r="K464" t="s">
        <v>1610</v>
      </c>
    </row>
    <row r="465" spans="1:11" x14ac:dyDescent="0.3">
      <c r="A465" t="s">
        <v>524</v>
      </c>
      <c r="B465" t="str">
        <f>IF(Calculator!$B$1="NL",Data!K465,Data!J465)</f>
        <v>PR. ELISABETH-NORD_21015A152</v>
      </c>
      <c r="C465">
        <v>1407</v>
      </c>
      <c r="D465">
        <v>745</v>
      </c>
      <c r="E465">
        <v>36.290455360000003</v>
      </c>
      <c r="F465">
        <v>0.95361781076066787</v>
      </c>
      <c r="G465">
        <f t="shared" si="21"/>
        <v>0.52949538024164888</v>
      </c>
      <c r="H465">
        <f t="shared" si="22"/>
        <v>0.57376179561600016</v>
      </c>
      <c r="I465">
        <f t="shared" si="23"/>
        <v>0.52404715853238326</v>
      </c>
      <c r="J465" t="s">
        <v>1103</v>
      </c>
      <c r="K465" t="s">
        <v>1611</v>
      </c>
    </row>
    <row r="466" spans="1:11" x14ac:dyDescent="0.3">
      <c r="A466" t="s">
        <v>254</v>
      </c>
      <c r="B466" t="str">
        <f>IF(Calculator!$B$1="NL",Data!K466,Data!J466)</f>
        <v>PRAIRIE_21014A14-</v>
      </c>
      <c r="C466">
        <v>580</v>
      </c>
      <c r="D466">
        <v>157</v>
      </c>
      <c r="E466">
        <v>31.549897779999998</v>
      </c>
      <c r="F466">
        <v>0.6619718309859155</v>
      </c>
      <c r="G466">
        <f t="shared" si="21"/>
        <v>0.27068965517241378</v>
      </c>
      <c r="H466">
        <f t="shared" si="22"/>
        <v>0.44055212761799994</v>
      </c>
      <c r="I466">
        <f t="shared" si="23"/>
        <v>0.32005880225568617</v>
      </c>
      <c r="J466" t="s">
        <v>1104</v>
      </c>
      <c r="K466" t="s">
        <v>1612</v>
      </c>
    </row>
    <row r="467" spans="1:11" x14ac:dyDescent="0.3">
      <c r="A467" t="s">
        <v>396</v>
      </c>
      <c r="B467" t="str">
        <f>IF(Calculator!$B$1="NL",Data!K467,Data!J467)</f>
        <v>PREVOT_21009A44-</v>
      </c>
      <c r="C467">
        <v>1127</v>
      </c>
      <c r="D467">
        <v>463</v>
      </c>
      <c r="E467">
        <v>35.1921879</v>
      </c>
      <c r="F467">
        <v>0.79347826086956519</v>
      </c>
      <c r="G467">
        <f t="shared" si="21"/>
        <v>0.41082519964507541</v>
      </c>
      <c r="H467">
        <f t="shared" si="22"/>
        <v>0.54290047998999991</v>
      </c>
      <c r="I467">
        <f t="shared" si="23"/>
        <v>0.4291765558357839</v>
      </c>
      <c r="J467" t="s">
        <v>1105</v>
      </c>
      <c r="K467" t="s">
        <v>1613</v>
      </c>
    </row>
    <row r="468" spans="1:11" x14ac:dyDescent="0.3">
      <c r="A468" t="s">
        <v>174</v>
      </c>
      <c r="B468" t="str">
        <f>IF(Calculator!$B$1="NL",Data!K468,Data!J468)</f>
        <v>PRINCE LEOPOLD (SQUARE)_21004E12-</v>
      </c>
      <c r="C468">
        <v>2048</v>
      </c>
      <c r="D468">
        <v>980</v>
      </c>
      <c r="E468">
        <v>35.628842050000003</v>
      </c>
      <c r="F468">
        <v>0.82678983833718245</v>
      </c>
      <c r="G468">
        <f t="shared" si="21"/>
        <v>0.478515625</v>
      </c>
      <c r="H468">
        <f t="shared" si="22"/>
        <v>0.55517046160500017</v>
      </c>
      <c r="I468">
        <f t="shared" si="23"/>
        <v>0.46515873897225007</v>
      </c>
      <c r="J468" t="s">
        <v>1106</v>
      </c>
      <c r="K468" t="s">
        <v>1614</v>
      </c>
    </row>
    <row r="469" spans="1:11" x14ac:dyDescent="0.3">
      <c r="A469" t="s">
        <v>324</v>
      </c>
      <c r="B469" t="str">
        <f>IF(Calculator!$B$1="NL",Data!K469,Data!J469)</f>
        <v>PRINCES BRABANCONS_21017A635</v>
      </c>
      <c r="C469">
        <v>168</v>
      </c>
      <c r="D469">
        <v>196</v>
      </c>
      <c r="E469">
        <v>44.76391014</v>
      </c>
      <c r="F469">
        <v>0.75903614457831325</v>
      </c>
      <c r="G469">
        <f t="shared" si="21"/>
        <v>1.1666666666666667</v>
      </c>
      <c r="H469">
        <f t="shared" si="22"/>
        <v>0.81186587493399998</v>
      </c>
      <c r="I469">
        <f t="shared" si="23"/>
        <v>0.89033964372030006</v>
      </c>
      <c r="J469" t="s">
        <v>1107</v>
      </c>
      <c r="K469" t="s">
        <v>1615</v>
      </c>
    </row>
    <row r="470" spans="1:11" x14ac:dyDescent="0.3">
      <c r="A470" t="s">
        <v>352</v>
      </c>
      <c r="B470" t="str">
        <f>IF(Calculator!$B$1="NL",Data!K470,Data!J470)</f>
        <v>PRISON_21013A04-</v>
      </c>
      <c r="C470">
        <v>876</v>
      </c>
      <c r="D470">
        <v>402</v>
      </c>
      <c r="E470">
        <v>34.01655959</v>
      </c>
      <c r="F470">
        <v>0.94370860927152322</v>
      </c>
      <c r="G470">
        <f t="shared" si="21"/>
        <v>0.4589041095890411</v>
      </c>
      <c r="H470">
        <f t="shared" si="22"/>
        <v>0.5098653244789999</v>
      </c>
      <c r="I470">
        <f t="shared" si="23"/>
        <v>0.46016548118231948</v>
      </c>
      <c r="J470" t="s">
        <v>1108</v>
      </c>
      <c r="K470" t="s">
        <v>1616</v>
      </c>
    </row>
    <row r="471" spans="1:11" x14ac:dyDescent="0.3">
      <c r="A471" t="s">
        <v>267</v>
      </c>
      <c r="B471" t="str">
        <f>IF(Calculator!$B$1="NL",Data!K471,Data!J471)</f>
        <v>PTOLEMEE_21016A225</v>
      </c>
      <c r="C471">
        <v>312</v>
      </c>
      <c r="D471">
        <v>299</v>
      </c>
      <c r="E471">
        <v>42.940330750000001</v>
      </c>
      <c r="F471">
        <v>0.74626865671641796</v>
      </c>
      <c r="G471">
        <f t="shared" si="21"/>
        <v>0.95833333333333337</v>
      </c>
      <c r="H471">
        <f t="shared" si="22"/>
        <v>0.76062329407500018</v>
      </c>
      <c r="I471">
        <f t="shared" si="23"/>
        <v>0.77353048233375021</v>
      </c>
      <c r="J471" t="s">
        <v>1109</v>
      </c>
      <c r="K471" t="s">
        <v>1617</v>
      </c>
    </row>
    <row r="472" spans="1:11" x14ac:dyDescent="0.3">
      <c r="A472" t="s">
        <v>615</v>
      </c>
      <c r="B472" t="str">
        <f>IF(Calculator!$B$1="NL",Data!K472,Data!J472)</f>
        <v>PUTDAAL_21019A22-</v>
      </c>
      <c r="C472">
        <v>276</v>
      </c>
      <c r="D472">
        <v>361</v>
      </c>
      <c r="E472">
        <v>49.290511619999997</v>
      </c>
      <c r="F472">
        <v>0.15057471264367819</v>
      </c>
      <c r="G472">
        <f t="shared" si="21"/>
        <v>1.3079710144927537</v>
      </c>
      <c r="H472">
        <f t="shared" si="22"/>
        <v>0.939063376522</v>
      </c>
      <c r="I472">
        <f t="shared" si="23"/>
        <v>1.0111654759566391</v>
      </c>
      <c r="J472" t="s">
        <v>1110</v>
      </c>
      <c r="K472" t="s">
        <v>1110</v>
      </c>
    </row>
    <row r="473" spans="1:11" x14ac:dyDescent="0.3">
      <c r="A473" t="s">
        <v>91</v>
      </c>
      <c r="B473" t="str">
        <f>IF(Calculator!$B$1="NL",Data!K473,Data!J473)</f>
        <v>PUTDAAL_21002A411</v>
      </c>
      <c r="C473">
        <v>251</v>
      </c>
      <c r="D473">
        <v>311</v>
      </c>
      <c r="E473">
        <v>47.49755468</v>
      </c>
      <c r="F473">
        <v>0.39898989898989901</v>
      </c>
      <c r="G473">
        <f t="shared" si="21"/>
        <v>1.2390438247011952</v>
      </c>
      <c r="H473">
        <f t="shared" si="22"/>
        <v>0.88868128650800005</v>
      </c>
      <c r="I473">
        <f t="shared" si="23"/>
        <v>0.95747630004413797</v>
      </c>
      <c r="J473" t="s">
        <v>1111</v>
      </c>
      <c r="K473" t="s">
        <v>1111</v>
      </c>
    </row>
    <row r="474" spans="1:11" x14ac:dyDescent="0.3">
      <c r="A474" t="s">
        <v>170</v>
      </c>
      <c r="B474" t="str">
        <f>IF(Calculator!$B$1="NL",Data!K474,Data!J474)</f>
        <v>QUAI DE WILLEBROECK_21004D672</v>
      </c>
      <c r="C474">
        <v>681</v>
      </c>
      <c r="D474">
        <v>199</v>
      </c>
      <c r="E474">
        <v>30.201945200000001</v>
      </c>
      <c r="F474">
        <v>0.48847926267281111</v>
      </c>
      <c r="G474">
        <f t="shared" si="21"/>
        <v>0.2922173274596182</v>
      </c>
      <c r="H474">
        <f t="shared" si="22"/>
        <v>0.40267466012000003</v>
      </c>
      <c r="I474">
        <f t="shared" si="23"/>
        <v>0.31270139441082823</v>
      </c>
      <c r="J474" t="s">
        <v>1112</v>
      </c>
      <c r="K474" t="s">
        <v>1618</v>
      </c>
    </row>
    <row r="475" spans="1:11" x14ac:dyDescent="0.3">
      <c r="A475" t="s">
        <v>140</v>
      </c>
      <c r="B475" t="str">
        <f>IF(Calculator!$B$1="NL",Data!K475,Data!J475)</f>
        <v>QUAI DU COMMERCE_21004A811</v>
      </c>
      <c r="C475">
        <v>1401</v>
      </c>
      <c r="D475">
        <v>468</v>
      </c>
      <c r="E475">
        <v>28.93833141</v>
      </c>
      <c r="F475">
        <v>0.68139963167587481</v>
      </c>
      <c r="G475">
        <f t="shared" si="21"/>
        <v>0.3340471092077088</v>
      </c>
      <c r="H475">
        <f t="shared" si="22"/>
        <v>0.36716711262099994</v>
      </c>
      <c r="I475">
        <f t="shared" si="23"/>
        <v>0.31554639982291893</v>
      </c>
      <c r="J475" t="s">
        <v>1113</v>
      </c>
      <c r="K475" t="s">
        <v>1619</v>
      </c>
    </row>
    <row r="476" spans="1:11" x14ac:dyDescent="0.3">
      <c r="A476" t="s">
        <v>476</v>
      </c>
      <c r="B476" t="str">
        <f>IF(Calculator!$B$1="NL",Data!K476,Data!J476)</f>
        <v>QUARTIER CICERO_21006A403</v>
      </c>
      <c r="C476">
        <v>866</v>
      </c>
      <c r="D476">
        <v>595</v>
      </c>
      <c r="E476">
        <v>36.776012680000001</v>
      </c>
      <c r="F476">
        <v>0.65277777777777779</v>
      </c>
      <c r="G476">
        <f t="shared" si="21"/>
        <v>0.68706697459584298</v>
      </c>
      <c r="H476">
        <f t="shared" si="22"/>
        <v>0.58740595630800008</v>
      </c>
      <c r="I476">
        <f t="shared" si="23"/>
        <v>0.57351281890672945</v>
      </c>
      <c r="J476" t="s">
        <v>1114</v>
      </c>
      <c r="K476" t="s">
        <v>1620</v>
      </c>
    </row>
    <row r="477" spans="1:11" x14ac:dyDescent="0.3">
      <c r="A477" t="s">
        <v>589</v>
      </c>
      <c r="B477" t="str">
        <f>IF(Calculator!$B$1="NL",Data!K477,Data!J477)</f>
        <v>QUARTIER DES PEINTRES_21018A512</v>
      </c>
      <c r="C477">
        <v>851</v>
      </c>
      <c r="D477">
        <v>627</v>
      </c>
      <c r="E477">
        <v>37.60137409</v>
      </c>
      <c r="F477">
        <v>0.96590909090909094</v>
      </c>
      <c r="G477">
        <f t="shared" si="21"/>
        <v>0.736780258519389</v>
      </c>
      <c r="H477">
        <f t="shared" si="22"/>
        <v>0.61059861192900011</v>
      </c>
      <c r="I477">
        <f t="shared" si="23"/>
        <v>0.64000496346298474</v>
      </c>
      <c r="J477" t="s">
        <v>1115</v>
      </c>
      <c r="K477" t="s">
        <v>1621</v>
      </c>
    </row>
    <row r="478" spans="1:11" x14ac:dyDescent="0.3">
      <c r="A478" t="s">
        <v>473</v>
      </c>
      <c r="B478" t="str">
        <f>IF(Calculator!$B$1="NL",Data!K478,Data!J478)</f>
        <v>QUARTIER GROSJEAN_21006A272</v>
      </c>
      <c r="C478">
        <v>157</v>
      </c>
      <c r="D478">
        <v>117</v>
      </c>
      <c r="E478">
        <v>34.999324780000002</v>
      </c>
      <c r="F478">
        <v>0.43765281173594128</v>
      </c>
      <c r="G478">
        <f t="shared" si="21"/>
        <v>0.74522292993630568</v>
      </c>
      <c r="H478">
        <f t="shared" si="22"/>
        <v>0.5374810263180001</v>
      </c>
      <c r="I478">
        <f t="shared" si="23"/>
        <v>0.57721678031443757</v>
      </c>
      <c r="J478" t="s">
        <v>1116</v>
      </c>
      <c r="K478" t="s">
        <v>1622</v>
      </c>
    </row>
    <row r="479" spans="1:11" x14ac:dyDescent="0.3">
      <c r="A479" t="s">
        <v>90</v>
      </c>
      <c r="B479" t="str">
        <f>IF(Calculator!$B$1="NL",Data!K479,Data!J479)</f>
        <v>QUARTIER INDUSTRIE_21002A372</v>
      </c>
      <c r="C479">
        <v>334</v>
      </c>
      <c r="D479">
        <v>198</v>
      </c>
      <c r="E479">
        <v>35.296191980000003</v>
      </c>
      <c r="F479">
        <v>1</v>
      </c>
      <c r="G479">
        <f t="shared" si="21"/>
        <v>0.59281437125748504</v>
      </c>
      <c r="H479">
        <f t="shared" si="22"/>
        <v>0.54582299463799999</v>
      </c>
      <c r="I479">
        <f t="shared" si="23"/>
        <v>0.54085274880035539</v>
      </c>
      <c r="J479" t="s">
        <v>1117</v>
      </c>
      <c r="K479" t="s">
        <v>1623</v>
      </c>
    </row>
    <row r="480" spans="1:11" x14ac:dyDescent="0.3">
      <c r="A480" t="s">
        <v>208</v>
      </c>
      <c r="B480" t="str">
        <f>IF(Calculator!$B$1="NL",Data!K480,Data!J480)</f>
        <v>QUATRE VENTS_21012A041</v>
      </c>
      <c r="C480">
        <v>780</v>
      </c>
      <c r="D480">
        <v>307</v>
      </c>
      <c r="E480">
        <v>33.726505420000002</v>
      </c>
      <c r="F480">
        <v>0.96470588235294119</v>
      </c>
      <c r="G480">
        <f t="shared" si="21"/>
        <v>0.39358974358974358</v>
      </c>
      <c r="H480">
        <f t="shared" si="22"/>
        <v>0.50171480230200016</v>
      </c>
      <c r="I480">
        <f t="shared" si="23"/>
        <v>0.42526965929857824</v>
      </c>
      <c r="J480" t="s">
        <v>1118</v>
      </c>
      <c r="K480" t="s">
        <v>1624</v>
      </c>
    </row>
    <row r="481" spans="1:11" x14ac:dyDescent="0.3">
      <c r="A481" t="s">
        <v>557</v>
      </c>
      <c r="B481" t="str">
        <f>IF(Calculator!$B$1="NL",Data!K481,Data!J481)</f>
        <v>R.T.B._21015A77-</v>
      </c>
      <c r="C481">
        <v>1217</v>
      </c>
      <c r="D481">
        <v>491</v>
      </c>
      <c r="E481">
        <v>38.558391460000003</v>
      </c>
      <c r="F481">
        <v>0.70155038759689925</v>
      </c>
      <c r="G481">
        <f t="shared" si="21"/>
        <v>0.40345110928512734</v>
      </c>
      <c r="H481">
        <f t="shared" si="22"/>
        <v>0.63749080002600023</v>
      </c>
      <c r="I481">
        <f t="shared" si="23"/>
        <v>0.46842385919000745</v>
      </c>
      <c r="J481" t="s">
        <v>1119</v>
      </c>
      <c r="K481" t="s">
        <v>1625</v>
      </c>
    </row>
    <row r="482" spans="1:11" x14ac:dyDescent="0.3">
      <c r="A482" t="s">
        <v>207</v>
      </c>
      <c r="B482" t="str">
        <f>IF(Calculator!$B$1="NL",Data!K482,Data!J482)</f>
        <v>RANSFORT_21012A03-</v>
      </c>
      <c r="C482">
        <v>724</v>
      </c>
      <c r="D482">
        <v>335</v>
      </c>
      <c r="E482">
        <v>32.129576239999999</v>
      </c>
      <c r="F482">
        <v>0.92553191489361697</v>
      </c>
      <c r="G482">
        <f t="shared" si="21"/>
        <v>0.462707182320442</v>
      </c>
      <c r="H482">
        <f t="shared" si="22"/>
        <v>0.456841092344</v>
      </c>
      <c r="I482">
        <f t="shared" si="23"/>
        <v>0.43678543046560991</v>
      </c>
      <c r="J482" t="s">
        <v>1120</v>
      </c>
      <c r="K482" t="s">
        <v>1120</v>
      </c>
    </row>
    <row r="483" spans="1:11" x14ac:dyDescent="0.3">
      <c r="A483" t="s">
        <v>569</v>
      </c>
      <c r="B483" t="str">
        <f>IF(Calculator!$B$1="NL",Data!K483,Data!J483)</f>
        <v>RASANTE_21018A09-</v>
      </c>
      <c r="C483">
        <v>153</v>
      </c>
      <c r="D483">
        <v>142</v>
      </c>
      <c r="E483">
        <v>39.353700979999999</v>
      </c>
      <c r="F483">
        <v>0.49242424242424238</v>
      </c>
      <c r="G483">
        <f t="shared" si="21"/>
        <v>0.92810457516339873</v>
      </c>
      <c r="H483">
        <f t="shared" si="22"/>
        <v>0.65983899753800013</v>
      </c>
      <c r="I483">
        <f t="shared" si="23"/>
        <v>0.71457460771562953</v>
      </c>
      <c r="J483" t="s">
        <v>1121</v>
      </c>
      <c r="K483" t="s">
        <v>1121</v>
      </c>
    </row>
    <row r="484" spans="1:11" x14ac:dyDescent="0.3">
      <c r="A484" t="s">
        <v>13</v>
      </c>
      <c r="B484" t="str">
        <f>IF(Calculator!$B$1="NL",Data!K484,Data!J484)</f>
        <v>RAUTER-NORD_21001A132</v>
      </c>
      <c r="C484">
        <v>486</v>
      </c>
      <c r="D484">
        <v>216</v>
      </c>
      <c r="E484">
        <v>34.31319311</v>
      </c>
      <c r="F484">
        <v>0.82424242424242422</v>
      </c>
      <c r="G484">
        <f t="shared" si="21"/>
        <v>0.44444444444444442</v>
      </c>
      <c r="H484">
        <f t="shared" si="22"/>
        <v>0.51820072639100001</v>
      </c>
      <c r="I484">
        <f t="shared" si="23"/>
        <v>0.43319032687594999</v>
      </c>
      <c r="J484" t="s">
        <v>1122</v>
      </c>
      <c r="K484" t="s">
        <v>1626</v>
      </c>
    </row>
    <row r="485" spans="1:11" x14ac:dyDescent="0.3">
      <c r="A485" t="s">
        <v>6</v>
      </c>
      <c r="B485" t="str">
        <f>IF(Calculator!$B$1="NL",Data!K485,Data!J485)</f>
        <v>RAUTER-SUD_21001A031</v>
      </c>
      <c r="C485">
        <v>920</v>
      </c>
      <c r="D485">
        <v>415</v>
      </c>
      <c r="E485">
        <v>36.613067970000003</v>
      </c>
      <c r="F485">
        <v>0.80160857908847183</v>
      </c>
      <c r="G485">
        <f t="shared" si="21"/>
        <v>0.45108695652173914</v>
      </c>
      <c r="H485">
        <f t="shared" si="22"/>
        <v>0.58282720995700021</v>
      </c>
      <c r="I485">
        <f t="shared" si="23"/>
        <v>0.46526137491543279</v>
      </c>
      <c r="J485" t="s">
        <v>1123</v>
      </c>
      <c r="K485" t="s">
        <v>1627</v>
      </c>
    </row>
    <row r="486" spans="1:11" x14ac:dyDescent="0.3">
      <c r="A486" t="s">
        <v>341</v>
      </c>
      <c r="B486" t="str">
        <f>IF(Calculator!$B$1="NL",Data!K486,Data!J486)</f>
        <v>REFORME_21008A240</v>
      </c>
      <c r="C486">
        <v>773</v>
      </c>
      <c r="D486">
        <v>489</v>
      </c>
      <c r="E486">
        <v>36.303999320000003</v>
      </c>
      <c r="F486">
        <v>0.78801843317972353</v>
      </c>
      <c r="G486">
        <f t="shared" si="21"/>
        <v>0.63260025873221215</v>
      </c>
      <c r="H486">
        <f t="shared" si="22"/>
        <v>0.57414238089200009</v>
      </c>
      <c r="I486">
        <f t="shared" si="23"/>
        <v>0.54303418783089552</v>
      </c>
      <c r="J486" t="s">
        <v>1124</v>
      </c>
      <c r="K486" t="s">
        <v>1628</v>
      </c>
    </row>
    <row r="487" spans="1:11" x14ac:dyDescent="0.3">
      <c r="A487" t="s">
        <v>121</v>
      </c>
      <c r="B487" t="str">
        <f>IF(Calculator!$B$1="NL",Data!K487,Data!J487)</f>
        <v>REGENT (BOULEVARD DU)_21004A12-</v>
      </c>
      <c r="C487">
        <v>91</v>
      </c>
      <c r="D487">
        <v>29</v>
      </c>
      <c r="E487">
        <v>25.436423860000001</v>
      </c>
      <c r="F487">
        <v>0.23404255319148939</v>
      </c>
      <c r="G487">
        <f t="shared" si="21"/>
        <v>0.31868131868131866</v>
      </c>
      <c r="H487">
        <f t="shared" si="22"/>
        <v>0.26876351046600006</v>
      </c>
      <c r="I487">
        <f t="shared" si="23"/>
        <v>0.26435017311629339</v>
      </c>
      <c r="J487" t="s">
        <v>1125</v>
      </c>
      <c r="K487" t="s">
        <v>1629</v>
      </c>
    </row>
    <row r="488" spans="1:11" x14ac:dyDescent="0.3">
      <c r="A488" t="s">
        <v>362</v>
      </c>
      <c r="B488" t="str">
        <f>IF(Calculator!$B$1="NL",Data!K488,Data!J488)</f>
        <v>REGIES_21013A22-</v>
      </c>
      <c r="C488">
        <v>1867</v>
      </c>
      <c r="D488">
        <v>514</v>
      </c>
      <c r="E488">
        <v>34.266328469999998</v>
      </c>
      <c r="F488">
        <v>0.84189723320158105</v>
      </c>
      <c r="G488">
        <f t="shared" si="21"/>
        <v>0.275307980717729</v>
      </c>
      <c r="H488">
        <f t="shared" si="22"/>
        <v>0.516883830007</v>
      </c>
      <c r="I488">
        <f t="shared" si="23"/>
        <v>0.35648631482612808</v>
      </c>
      <c r="J488" t="s">
        <v>1126</v>
      </c>
      <c r="K488" t="s">
        <v>1630</v>
      </c>
    </row>
    <row r="489" spans="1:11" x14ac:dyDescent="0.3">
      <c r="A489" t="s">
        <v>542</v>
      </c>
      <c r="B489" t="str">
        <f>IF(Calculator!$B$1="NL",Data!K489,Data!J489)</f>
        <v>REINE (AVENUE)_21015A44-</v>
      </c>
      <c r="C489">
        <v>1349</v>
      </c>
      <c r="D489">
        <v>596</v>
      </c>
      <c r="E489">
        <v>31.638743659999999</v>
      </c>
      <c r="F489">
        <v>1.072072072072072</v>
      </c>
      <c r="G489">
        <f t="shared" si="21"/>
        <v>0.44180874722016306</v>
      </c>
      <c r="H489">
        <f t="shared" si="22"/>
        <v>0.44304869684599996</v>
      </c>
      <c r="I489">
        <f t="shared" si="23"/>
        <v>0.44242872203308148</v>
      </c>
      <c r="J489" t="s">
        <v>1127</v>
      </c>
      <c r="K489" t="s">
        <v>1631</v>
      </c>
    </row>
    <row r="490" spans="1:11" x14ac:dyDescent="0.3">
      <c r="A490" t="s">
        <v>443</v>
      </c>
      <c r="B490" t="str">
        <f>IF(Calculator!$B$1="NL",Data!K490,Data!J490)</f>
        <v>REINE MARIE-HENRIETTE_21007A552</v>
      </c>
      <c r="C490">
        <v>117</v>
      </c>
      <c r="D490">
        <v>93</v>
      </c>
      <c r="E490">
        <v>32.61594332</v>
      </c>
      <c r="F490">
        <v>0.34693877551020408</v>
      </c>
      <c r="G490">
        <f t="shared" si="21"/>
        <v>0.79487179487179482</v>
      </c>
      <c r="H490">
        <f t="shared" si="22"/>
        <v>0.47050800729199999</v>
      </c>
      <c r="I490">
        <f t="shared" si="23"/>
        <v>0.56942091097370762</v>
      </c>
      <c r="J490" t="s">
        <v>1128</v>
      </c>
      <c r="K490" t="s">
        <v>1632</v>
      </c>
    </row>
    <row r="491" spans="1:11" x14ac:dyDescent="0.3">
      <c r="A491" t="s">
        <v>394</v>
      </c>
      <c r="B491" t="str">
        <f>IF(Calculator!$B$1="NL",Data!K491,Data!J491)</f>
        <v>RENIER CHALON_21009A42-</v>
      </c>
      <c r="C491">
        <v>1449</v>
      </c>
      <c r="D491">
        <v>886</v>
      </c>
      <c r="E491">
        <v>40.531338120000001</v>
      </c>
      <c r="F491">
        <v>0.86880466472303208</v>
      </c>
      <c r="G491">
        <f t="shared" si="21"/>
        <v>0.611456176673568</v>
      </c>
      <c r="H491">
        <f t="shared" si="22"/>
        <v>0.692930601172</v>
      </c>
      <c r="I491">
        <f t="shared" si="23"/>
        <v>0.61958371947664481</v>
      </c>
      <c r="J491" t="s">
        <v>1129</v>
      </c>
      <c r="K491" t="s">
        <v>1129</v>
      </c>
    </row>
    <row r="492" spans="1:11" x14ac:dyDescent="0.3">
      <c r="A492" t="s">
        <v>3</v>
      </c>
      <c r="B492" t="str">
        <f>IF(Calculator!$B$1="NL",Data!K492,Data!J492)</f>
        <v>RESISTANCE_21001A00-</v>
      </c>
      <c r="C492">
        <v>1185</v>
      </c>
      <c r="D492">
        <v>515</v>
      </c>
      <c r="E492">
        <v>32.540964940000002</v>
      </c>
      <c r="F492">
        <v>0.88301282051282048</v>
      </c>
      <c r="G492">
        <f t="shared" si="21"/>
        <v>0.43459915611814348</v>
      </c>
      <c r="H492">
        <f t="shared" si="22"/>
        <v>0.4684011148140001</v>
      </c>
      <c r="I492">
        <f t="shared" si="23"/>
        <v>0.42892512869276822</v>
      </c>
      <c r="J492" t="s">
        <v>1130</v>
      </c>
      <c r="K492" t="s">
        <v>1633</v>
      </c>
    </row>
    <row r="493" spans="1:11" x14ac:dyDescent="0.3">
      <c r="A493" t="s">
        <v>58</v>
      </c>
      <c r="B493" t="str">
        <f>IF(Calculator!$B$1="NL",Data!K493,Data!J493)</f>
        <v>REVISION-NORD_21001B25-</v>
      </c>
      <c r="C493">
        <v>1706</v>
      </c>
      <c r="D493">
        <v>669</v>
      </c>
      <c r="E493">
        <v>35.92830876</v>
      </c>
      <c r="F493">
        <v>0.86979166666666663</v>
      </c>
      <c r="G493">
        <f t="shared" si="21"/>
        <v>0.39214536928487692</v>
      </c>
      <c r="H493">
        <f t="shared" si="22"/>
        <v>0.56358547615599996</v>
      </c>
      <c r="I493">
        <f t="shared" si="23"/>
        <v>0.45397215158441645</v>
      </c>
      <c r="J493" t="s">
        <v>1131</v>
      </c>
      <c r="K493" t="s">
        <v>1634</v>
      </c>
    </row>
    <row r="494" spans="1:11" x14ac:dyDescent="0.3">
      <c r="A494" t="s">
        <v>57</v>
      </c>
      <c r="B494" t="str">
        <f>IF(Calculator!$B$1="NL",Data!K494,Data!J494)</f>
        <v>REVISION-SUD_21001B241</v>
      </c>
      <c r="C494">
        <v>845</v>
      </c>
      <c r="D494">
        <v>351</v>
      </c>
      <c r="E494">
        <v>33.902586169999999</v>
      </c>
      <c r="F494">
        <v>0.80540540540540539</v>
      </c>
      <c r="G494">
        <f t="shared" si="21"/>
        <v>0.41538461538461541</v>
      </c>
      <c r="H494">
        <f t="shared" si="22"/>
        <v>0.50666267137699994</v>
      </c>
      <c r="I494">
        <f t="shared" si="23"/>
        <v>0.41492127904272696</v>
      </c>
      <c r="J494" t="s">
        <v>1132</v>
      </c>
      <c r="K494" t="s">
        <v>1635</v>
      </c>
    </row>
    <row r="495" spans="1:11" x14ac:dyDescent="0.3">
      <c r="A495" t="s">
        <v>485</v>
      </c>
      <c r="B495" t="str">
        <f>IF(Calculator!$B$1="NL",Data!K495,Data!J495)</f>
        <v>RINSDELLE_21005A051</v>
      </c>
      <c r="C495">
        <v>2493</v>
      </c>
      <c r="D495">
        <v>1078</v>
      </c>
      <c r="E495">
        <v>35.474268680000002</v>
      </c>
      <c r="F495">
        <v>0.92068965517241375</v>
      </c>
      <c r="G495">
        <f t="shared" si="21"/>
        <v>0.43241075010028079</v>
      </c>
      <c r="H495">
        <f t="shared" si="22"/>
        <v>0.55082694990800007</v>
      </c>
      <c r="I495">
        <f t="shared" si="23"/>
        <v>0.46703790750393337</v>
      </c>
      <c r="J495" t="s">
        <v>1133</v>
      </c>
      <c r="K495" t="s">
        <v>1133</v>
      </c>
    </row>
    <row r="496" spans="1:11" x14ac:dyDescent="0.3">
      <c r="A496" t="s">
        <v>289</v>
      </c>
      <c r="B496" t="str">
        <f>IF(Calculator!$B$1="NL",Data!K496,Data!J496)</f>
        <v>ROETAERT_21016A731</v>
      </c>
      <c r="C496">
        <v>214</v>
      </c>
      <c r="D496">
        <v>209</v>
      </c>
      <c r="E496">
        <v>44.661077470000002</v>
      </c>
      <c r="F496">
        <v>0.9107142857142857</v>
      </c>
      <c r="G496">
        <f t="shared" si="21"/>
        <v>0.97663551401869164</v>
      </c>
      <c r="H496">
        <f t="shared" si="22"/>
        <v>0.80897627690700014</v>
      </c>
      <c r="I496">
        <f t="shared" si="23"/>
        <v>0.84816560068970359</v>
      </c>
      <c r="J496" t="s">
        <v>1134</v>
      </c>
      <c r="K496" t="s">
        <v>1134</v>
      </c>
    </row>
    <row r="497" spans="1:11" x14ac:dyDescent="0.3">
      <c r="A497" t="s">
        <v>595</v>
      </c>
      <c r="B497" t="str">
        <f>IF(Calculator!$B$1="NL",Data!K497,Data!J497)</f>
        <v>ROGATIONS_21018A72-</v>
      </c>
      <c r="C497">
        <v>1250</v>
      </c>
      <c r="D497">
        <v>654</v>
      </c>
      <c r="E497">
        <v>31.609265319999999</v>
      </c>
      <c r="F497">
        <v>0.80855018587360594</v>
      </c>
      <c r="G497">
        <f t="shared" si="21"/>
        <v>0.5232</v>
      </c>
      <c r="H497">
        <f t="shared" si="22"/>
        <v>0.44222035549199995</v>
      </c>
      <c r="I497">
        <f t="shared" si="23"/>
        <v>0.43443915997140004</v>
      </c>
      <c r="J497" t="s">
        <v>1135</v>
      </c>
      <c r="K497" t="s">
        <v>1636</v>
      </c>
    </row>
    <row r="498" spans="1:11" x14ac:dyDescent="0.3">
      <c r="A498" t="s">
        <v>363</v>
      </c>
      <c r="B498" t="str">
        <f>IF(Calculator!$B$1="NL",Data!K498,Data!J498)</f>
        <v>ROI (AVENUE DU)_21013A23-</v>
      </c>
      <c r="C498">
        <v>578</v>
      </c>
      <c r="D498">
        <v>223</v>
      </c>
      <c r="E498">
        <v>30.71113222</v>
      </c>
      <c r="F498">
        <v>0.85666666666666669</v>
      </c>
      <c r="G498">
        <f t="shared" si="21"/>
        <v>0.38581314878892736</v>
      </c>
      <c r="H498">
        <f t="shared" si="22"/>
        <v>0.41698281538199994</v>
      </c>
      <c r="I498">
        <f t="shared" si="23"/>
        <v>0.38132808298119042</v>
      </c>
      <c r="J498" t="s">
        <v>1136</v>
      </c>
      <c r="K498" t="s">
        <v>1637</v>
      </c>
    </row>
    <row r="499" spans="1:11" x14ac:dyDescent="0.3">
      <c r="A499" t="s">
        <v>23</v>
      </c>
      <c r="B499" t="str">
        <f>IF(Calculator!$B$1="NL",Data!K499,Data!J499)</f>
        <v>ROMAIN ROLLAND_21001A41-</v>
      </c>
      <c r="C499">
        <v>1071</v>
      </c>
      <c r="D499">
        <v>734</v>
      </c>
      <c r="E499">
        <v>38.33787675</v>
      </c>
      <c r="F499">
        <v>0.79097387173396672</v>
      </c>
      <c r="G499">
        <f t="shared" si="21"/>
        <v>0.68534080298786182</v>
      </c>
      <c r="H499">
        <f t="shared" si="22"/>
        <v>0.63129433667500012</v>
      </c>
      <c r="I499">
        <f t="shared" si="23"/>
        <v>0.59248581284828794</v>
      </c>
      <c r="J499" t="s">
        <v>1137</v>
      </c>
      <c r="K499" t="s">
        <v>1137</v>
      </c>
    </row>
    <row r="500" spans="1:11" x14ac:dyDescent="0.3">
      <c r="A500" t="s">
        <v>588</v>
      </c>
      <c r="B500" t="str">
        <f>IF(Calculator!$B$1="NL",Data!K500,Data!J500)</f>
        <v>ROODEBEEK_21018A43-</v>
      </c>
      <c r="C500">
        <v>560</v>
      </c>
      <c r="D500">
        <v>417</v>
      </c>
      <c r="E500">
        <v>36.370856089999997</v>
      </c>
      <c r="F500">
        <v>0.80906921241050123</v>
      </c>
      <c r="G500">
        <f t="shared" si="21"/>
        <v>0.74464285714285716</v>
      </c>
      <c r="H500">
        <f t="shared" si="22"/>
        <v>0.57602105612900001</v>
      </c>
      <c r="I500">
        <f t="shared" si="23"/>
        <v>0.59429876097233569</v>
      </c>
      <c r="J500" t="s">
        <v>1138</v>
      </c>
      <c r="K500" t="s">
        <v>1138</v>
      </c>
    </row>
    <row r="501" spans="1:11" x14ac:dyDescent="0.3">
      <c r="A501" t="s">
        <v>590</v>
      </c>
      <c r="B501" t="str">
        <f>IF(Calculator!$B$1="NL",Data!K501,Data!J501)</f>
        <v>ROODEBEEK PARC_21018A60-</v>
      </c>
      <c r="C501">
        <v>283</v>
      </c>
      <c r="D501">
        <v>123</v>
      </c>
      <c r="E501">
        <v>40.616007719999999</v>
      </c>
      <c r="F501">
        <v>0.47709923664122139</v>
      </c>
      <c r="G501">
        <f t="shared" si="21"/>
        <v>0.43462897526501765</v>
      </c>
      <c r="H501">
        <f t="shared" si="22"/>
        <v>0.695309816932</v>
      </c>
      <c r="I501">
        <f t="shared" si="23"/>
        <v>0.50847245648865791</v>
      </c>
      <c r="J501" t="s">
        <v>1139</v>
      </c>
      <c r="K501" t="s">
        <v>1638</v>
      </c>
    </row>
    <row r="502" spans="1:11" x14ac:dyDescent="0.3">
      <c r="A502" t="s">
        <v>431</v>
      </c>
      <c r="B502" t="str">
        <f>IF(Calculator!$B$1="NL",Data!K502,Data!J502)</f>
        <v>ROOSENDAEL (RUE)_21007A201</v>
      </c>
      <c r="C502">
        <v>1209</v>
      </c>
      <c r="D502">
        <v>856</v>
      </c>
      <c r="E502">
        <v>46.661479360000001</v>
      </c>
      <c r="F502">
        <v>0.90618762475049897</v>
      </c>
      <c r="G502">
        <f t="shared" si="21"/>
        <v>0.70802315963606288</v>
      </c>
      <c r="H502">
        <f t="shared" si="22"/>
        <v>0.86518757001600011</v>
      </c>
      <c r="I502">
        <f t="shared" si="23"/>
        <v>0.7472750965847299</v>
      </c>
      <c r="J502" t="s">
        <v>1140</v>
      </c>
      <c r="K502" t="s">
        <v>1639</v>
      </c>
    </row>
    <row r="503" spans="1:11" x14ac:dyDescent="0.3">
      <c r="A503" t="s">
        <v>50</v>
      </c>
      <c r="B503" t="str">
        <f>IF(Calculator!$B$1="NL",Data!K503,Data!J503)</f>
        <v>ROSEE-EST_21001B10-</v>
      </c>
      <c r="C503">
        <v>1065</v>
      </c>
      <c r="D503">
        <v>394</v>
      </c>
      <c r="E503">
        <v>34.68561897</v>
      </c>
      <c r="F503">
        <v>0.95953757225433522</v>
      </c>
      <c r="G503">
        <f t="shared" si="21"/>
        <v>0.36995305164319248</v>
      </c>
      <c r="H503">
        <f t="shared" si="22"/>
        <v>0.52866589305700007</v>
      </c>
      <c r="I503">
        <f t="shared" si="23"/>
        <v>0.42684399873259143</v>
      </c>
      <c r="J503" t="s">
        <v>1141</v>
      </c>
      <c r="K503" t="s">
        <v>1640</v>
      </c>
    </row>
    <row r="504" spans="1:11" x14ac:dyDescent="0.3">
      <c r="A504" t="s">
        <v>51</v>
      </c>
      <c r="B504" t="str">
        <f>IF(Calculator!$B$1="NL",Data!K504,Data!J504)</f>
        <v>ROSEE-OUEST_21001B11-</v>
      </c>
      <c r="C504">
        <v>558</v>
      </c>
      <c r="D504">
        <v>206</v>
      </c>
      <c r="E504">
        <v>33.094279270000001</v>
      </c>
      <c r="F504">
        <v>0.66091954022988508</v>
      </c>
      <c r="G504">
        <f t="shared" si="21"/>
        <v>0.36917562724014336</v>
      </c>
      <c r="H504">
        <f t="shared" si="22"/>
        <v>0.48394924748700002</v>
      </c>
      <c r="I504">
        <f t="shared" si="23"/>
        <v>0.38390619362721451</v>
      </c>
      <c r="J504" t="s">
        <v>1142</v>
      </c>
      <c r="K504" t="s">
        <v>1641</v>
      </c>
    </row>
    <row r="505" spans="1:11" x14ac:dyDescent="0.3">
      <c r="A505" t="s">
        <v>19</v>
      </c>
      <c r="B505" t="str">
        <f>IF(Calculator!$B$1="NL",Data!K505,Data!J505)</f>
        <v>ROUE_21001A332</v>
      </c>
      <c r="C505">
        <v>474</v>
      </c>
      <c r="D505">
        <v>309</v>
      </c>
      <c r="E505">
        <v>38.249382480000001</v>
      </c>
      <c r="F505">
        <v>0.78486055776892427</v>
      </c>
      <c r="G505">
        <f t="shared" si="21"/>
        <v>0.65189873417721522</v>
      </c>
      <c r="H505">
        <f t="shared" si="22"/>
        <v>0.62880764768800002</v>
      </c>
      <c r="I505">
        <f t="shared" si="23"/>
        <v>0.57631787183934691</v>
      </c>
      <c r="J505" t="s">
        <v>1143</v>
      </c>
      <c r="K505" t="s">
        <v>1642</v>
      </c>
    </row>
    <row r="506" spans="1:11" x14ac:dyDescent="0.3">
      <c r="A506" t="s">
        <v>20</v>
      </c>
      <c r="B506" t="str">
        <f>IF(Calculator!$B$1="NL",Data!K506,Data!J506)</f>
        <v>ROUE - CITE JARDIN_21001A34-</v>
      </c>
      <c r="C506">
        <v>775</v>
      </c>
      <c r="D506">
        <v>565</v>
      </c>
      <c r="E506">
        <v>36.545933580000003</v>
      </c>
      <c r="F506">
        <v>0.74450084602368871</v>
      </c>
      <c r="G506">
        <f t="shared" si="21"/>
        <v>0.7290322580645161</v>
      </c>
      <c r="H506">
        <f t="shared" si="22"/>
        <v>0.58094073359800014</v>
      </c>
      <c r="I506">
        <f t="shared" si="23"/>
        <v>0.58948784624813233</v>
      </c>
      <c r="J506" t="s">
        <v>1144</v>
      </c>
      <c r="K506" t="s">
        <v>1643</v>
      </c>
    </row>
    <row r="507" spans="1:11" x14ac:dyDescent="0.3">
      <c r="A507" t="s">
        <v>518</v>
      </c>
      <c r="B507" t="str">
        <f>IF(Calculator!$B$1="NL",Data!K507,Data!J507)</f>
        <v>ROYALE SAINTE-MARIE (RUE)_21015A05-</v>
      </c>
      <c r="C507">
        <v>1796</v>
      </c>
      <c r="D507">
        <v>728</v>
      </c>
      <c r="E507">
        <v>30.119733020000002</v>
      </c>
      <c r="F507">
        <v>0.82745098039215681</v>
      </c>
      <c r="G507">
        <f t="shared" si="21"/>
        <v>0.40534521158129178</v>
      </c>
      <c r="H507">
        <f t="shared" si="22"/>
        <v>0.40036449786200007</v>
      </c>
      <c r="I507">
        <f t="shared" si="23"/>
        <v>0.36256936924948135</v>
      </c>
      <c r="J507" t="s">
        <v>1145</v>
      </c>
      <c r="K507" t="s">
        <v>1644</v>
      </c>
    </row>
    <row r="508" spans="1:11" x14ac:dyDescent="0.3">
      <c r="A508" t="s">
        <v>194</v>
      </c>
      <c r="B508" t="str">
        <f>IF(Calculator!$B$1="NL",Data!K508,Data!J508)</f>
        <v>RUE CHATEAU BEYAERD_21004F922</v>
      </c>
      <c r="C508">
        <v>1271</v>
      </c>
      <c r="D508">
        <v>974</v>
      </c>
      <c r="E508">
        <v>45.371587730000002</v>
      </c>
      <c r="F508">
        <v>0.76569506726457404</v>
      </c>
      <c r="G508">
        <f t="shared" si="21"/>
        <v>0.7663257277734068</v>
      </c>
      <c r="H508">
        <f t="shared" si="22"/>
        <v>0.82894161521300003</v>
      </c>
      <c r="I508">
        <f t="shared" si="23"/>
        <v>0.7178703043438831</v>
      </c>
      <c r="J508" t="s">
        <v>1146</v>
      </c>
      <c r="K508" t="s">
        <v>1645</v>
      </c>
    </row>
    <row r="509" spans="1:11" x14ac:dyDescent="0.3">
      <c r="A509" t="s">
        <v>148</v>
      </c>
      <c r="B509" t="str">
        <f>IF(Calculator!$B$1="NL",Data!K509,Data!J509)</f>
        <v>RUE DE PASCAL - ST.-SACREMENT_21004B2WJ</v>
      </c>
      <c r="C509">
        <v>266</v>
      </c>
      <c r="D509">
        <v>74</v>
      </c>
      <c r="E509">
        <v>28.159445219999998</v>
      </c>
      <c r="F509">
        <v>0.59793814432989689</v>
      </c>
      <c r="G509">
        <f t="shared" si="21"/>
        <v>0.2781954887218045</v>
      </c>
      <c r="H509">
        <f t="shared" si="22"/>
        <v>0.34528041068199994</v>
      </c>
      <c r="I509">
        <f t="shared" si="23"/>
        <v>0.28056415473171198</v>
      </c>
      <c r="J509" t="s">
        <v>1147</v>
      </c>
      <c r="K509" t="s">
        <v>1646</v>
      </c>
    </row>
    <row r="510" spans="1:11" x14ac:dyDescent="0.3">
      <c r="A510" t="s">
        <v>178</v>
      </c>
      <c r="B510" t="str">
        <f>IF(Calculator!$B$1="NL",Data!K510,Data!J510)</f>
        <v>RUE DE WAND_21004E211</v>
      </c>
      <c r="C510">
        <v>375</v>
      </c>
      <c r="D510">
        <v>212</v>
      </c>
      <c r="E510">
        <v>36.954986839999997</v>
      </c>
      <c r="F510">
        <v>0.56521739130434778</v>
      </c>
      <c r="G510">
        <f t="shared" si="21"/>
        <v>0.56533333333333335</v>
      </c>
      <c r="H510">
        <f t="shared" si="22"/>
        <v>0.59243513020399985</v>
      </c>
      <c r="I510">
        <f t="shared" si="23"/>
        <v>0.52099580859180006</v>
      </c>
      <c r="J510" t="s">
        <v>1756</v>
      </c>
      <c r="K510" t="s">
        <v>1757</v>
      </c>
    </row>
    <row r="511" spans="1:11" x14ac:dyDescent="0.3">
      <c r="A511" t="s">
        <v>370</v>
      </c>
      <c r="B511" t="str">
        <f>IF(Calculator!$B$1="NL",Data!K511,Data!J511)</f>
        <v>RUE D'ECOSSE_21013A522</v>
      </c>
      <c r="C511">
        <v>1190</v>
      </c>
      <c r="D511">
        <v>368</v>
      </c>
      <c r="E511">
        <v>31.26405681</v>
      </c>
      <c r="F511">
        <v>0.87462686567164183</v>
      </c>
      <c r="G511">
        <f t="shared" si="21"/>
        <v>0.30924369747899161</v>
      </c>
      <c r="H511">
        <f t="shared" si="22"/>
        <v>0.43251999636099997</v>
      </c>
      <c r="I511">
        <f t="shared" si="23"/>
        <v>0.35233775457399602</v>
      </c>
      <c r="J511" t="s">
        <v>1148</v>
      </c>
      <c r="K511" t="s">
        <v>1647</v>
      </c>
    </row>
    <row r="512" spans="1:11" x14ac:dyDescent="0.3">
      <c r="A512" t="s">
        <v>321</v>
      </c>
      <c r="B512" t="str">
        <f>IF(Calculator!$B$1="NL",Data!K512,Data!J512)</f>
        <v>RUE DES BEGONIAS_21017A534</v>
      </c>
      <c r="C512">
        <v>164</v>
      </c>
      <c r="D512">
        <v>123</v>
      </c>
      <c r="E512">
        <v>39.541041059999998</v>
      </c>
      <c r="F512">
        <v>0.68055555555555558</v>
      </c>
      <c r="G512">
        <f t="shared" si="21"/>
        <v>0.75</v>
      </c>
      <c r="H512">
        <f t="shared" si="22"/>
        <v>0.66510325378599999</v>
      </c>
      <c r="I512">
        <f t="shared" si="23"/>
        <v>0.63679646420370006</v>
      </c>
      <c r="J512" t="s">
        <v>1149</v>
      </c>
      <c r="K512" t="s">
        <v>1648</v>
      </c>
    </row>
    <row r="513" spans="1:11" x14ac:dyDescent="0.3">
      <c r="A513" t="s">
        <v>173</v>
      </c>
      <c r="B513" t="str">
        <f>IF(Calculator!$B$1="NL",Data!K513,Data!J513)</f>
        <v>RUE DES CHRYSANTHEMES_21004E112</v>
      </c>
      <c r="C513">
        <v>216</v>
      </c>
      <c r="D513">
        <v>97</v>
      </c>
      <c r="E513">
        <v>28.077431659999998</v>
      </c>
      <c r="F513">
        <v>0.94505494505494503</v>
      </c>
      <c r="G513">
        <f t="shared" si="21"/>
        <v>0.44907407407407407</v>
      </c>
      <c r="H513">
        <f t="shared" si="22"/>
        <v>0.34297582964599999</v>
      </c>
      <c r="I513">
        <f t="shared" si="23"/>
        <v>0.37622370426703516</v>
      </c>
      <c r="J513" t="s">
        <v>1758</v>
      </c>
      <c r="K513" t="s">
        <v>1759</v>
      </c>
    </row>
    <row r="514" spans="1:11" x14ac:dyDescent="0.3">
      <c r="A514" t="s">
        <v>141</v>
      </c>
      <c r="B514" t="str">
        <f>IF(Calculator!$B$1="NL",Data!K514,Data!J514)</f>
        <v>RUE DES COMMERCANTS_21004A822</v>
      </c>
      <c r="C514">
        <v>509</v>
      </c>
      <c r="D514">
        <v>90</v>
      </c>
      <c r="E514">
        <v>25.844769280000001</v>
      </c>
      <c r="F514">
        <v>0.57317073170731703</v>
      </c>
      <c r="G514">
        <f t="shared" ref="G514:G577" si="24">D514/C514</f>
        <v>0.17681728880157171</v>
      </c>
      <c r="H514">
        <f t="shared" si="22"/>
        <v>0.28023801676800003</v>
      </c>
      <c r="I514">
        <f t="shared" si="23"/>
        <v>0.2056748875063073</v>
      </c>
      <c r="J514" t="s">
        <v>1150</v>
      </c>
      <c r="K514" t="s">
        <v>1649</v>
      </c>
    </row>
    <row r="515" spans="1:11" x14ac:dyDescent="0.3">
      <c r="A515" t="s">
        <v>191</v>
      </c>
      <c r="B515" t="str">
        <f>IF(Calculator!$B$1="NL",Data!K515,Data!J515)</f>
        <v>RUE DES FAINES_21004F531</v>
      </c>
      <c r="C515">
        <v>1397</v>
      </c>
      <c r="D515">
        <v>1045</v>
      </c>
      <c r="E515">
        <v>47.533352000000001</v>
      </c>
      <c r="F515">
        <v>0.88544152744630067</v>
      </c>
      <c r="G515">
        <f t="shared" si="24"/>
        <v>0.74803149606299213</v>
      </c>
      <c r="H515">
        <f t="shared" ref="H515:H578" si="25">0.0281*E515-0.446</f>
        <v>0.88968719120000017</v>
      </c>
      <c r="I515">
        <f t="shared" ref="I515:I578" si="26">(G515+H515)/2*IF(F515&lt;85%,0.9,IF(F515&gt;100%,1,0.95))</f>
        <v>0.77791637644992129</v>
      </c>
      <c r="J515" t="s">
        <v>1151</v>
      </c>
      <c r="K515" t="s">
        <v>1650</v>
      </c>
    </row>
    <row r="516" spans="1:11" x14ac:dyDescent="0.3">
      <c r="A516" t="s">
        <v>197</v>
      </c>
      <c r="B516" t="str">
        <f>IF(Calculator!$B$1="NL",Data!K516,Data!J516)</f>
        <v>RUE DU WIMPELBERG_21004F953</v>
      </c>
      <c r="C516">
        <v>745</v>
      </c>
      <c r="D516">
        <v>556</v>
      </c>
      <c r="E516">
        <v>45.86150095</v>
      </c>
      <c r="F516">
        <v>0.73969631236442512</v>
      </c>
      <c r="G516">
        <f t="shared" si="24"/>
        <v>0.74630872483221478</v>
      </c>
      <c r="H516">
        <f t="shared" si="25"/>
        <v>0.84270817669499998</v>
      </c>
      <c r="I516">
        <f t="shared" si="26"/>
        <v>0.71505760568724663</v>
      </c>
      <c r="J516" t="s">
        <v>1152</v>
      </c>
      <c r="K516" t="s">
        <v>1651</v>
      </c>
    </row>
    <row r="517" spans="1:11" x14ac:dyDescent="0.3">
      <c r="A517" t="s">
        <v>77</v>
      </c>
      <c r="B517" t="str">
        <f>IF(Calculator!$B$1="NL",Data!K517,Data!J517)</f>
        <v>SACRE-COEUR_21002A11-</v>
      </c>
      <c r="C517">
        <v>425</v>
      </c>
      <c r="D517">
        <v>380</v>
      </c>
      <c r="E517">
        <v>41.554909709999997</v>
      </c>
      <c r="F517">
        <v>0.66666666666666663</v>
      </c>
      <c r="G517">
        <f t="shared" si="24"/>
        <v>0.89411764705882357</v>
      </c>
      <c r="H517">
        <f t="shared" si="25"/>
        <v>0.72169296285100004</v>
      </c>
      <c r="I517">
        <f t="shared" si="26"/>
        <v>0.72711477445942074</v>
      </c>
      <c r="J517" t="s">
        <v>1153</v>
      </c>
      <c r="K517" t="s">
        <v>1652</v>
      </c>
    </row>
    <row r="518" spans="1:11" x14ac:dyDescent="0.3">
      <c r="A518" t="s">
        <v>175</v>
      </c>
      <c r="B518" t="str">
        <f>IF(Calculator!$B$1="NL",Data!K518,Data!J518)</f>
        <v>SACRE-COEUR_21004E130</v>
      </c>
      <c r="C518">
        <v>2372</v>
      </c>
      <c r="D518">
        <v>1305</v>
      </c>
      <c r="E518">
        <v>35.349562759999998</v>
      </c>
      <c r="F518">
        <v>0.94270833333333337</v>
      </c>
      <c r="G518">
        <f t="shared" si="24"/>
        <v>0.5501686340640809</v>
      </c>
      <c r="H518">
        <f t="shared" si="25"/>
        <v>0.54732271355599993</v>
      </c>
      <c r="I518">
        <f t="shared" si="26"/>
        <v>0.52130839011953845</v>
      </c>
      <c r="J518" t="s">
        <v>1760</v>
      </c>
      <c r="K518" t="s">
        <v>1761</v>
      </c>
    </row>
    <row r="519" spans="1:11" x14ac:dyDescent="0.3">
      <c r="A519" t="s">
        <v>390</v>
      </c>
      <c r="B519" t="str">
        <f>IF(Calculator!$B$1="NL",Data!K519,Data!J519)</f>
        <v>SAINT-ADRIEN_21009A33-</v>
      </c>
      <c r="C519">
        <v>2175</v>
      </c>
      <c r="D519">
        <v>1195</v>
      </c>
      <c r="E519">
        <v>39.897348960000002</v>
      </c>
      <c r="F519">
        <v>0.98783783783783785</v>
      </c>
      <c r="G519">
        <f t="shared" si="24"/>
        <v>0.54942528735632179</v>
      </c>
      <c r="H519">
        <f t="shared" si="25"/>
        <v>0.6751155057760001</v>
      </c>
      <c r="I519">
        <f t="shared" si="26"/>
        <v>0.58165687673785282</v>
      </c>
      <c r="J519" t="s">
        <v>1154</v>
      </c>
      <c r="K519" t="s">
        <v>1653</v>
      </c>
    </row>
    <row r="520" spans="1:11" x14ac:dyDescent="0.3">
      <c r="A520" t="s">
        <v>444</v>
      </c>
      <c r="B520" t="str">
        <f>IF(Calculator!$B$1="NL",Data!K520,Data!J520)</f>
        <v>SAINT-ANTOINE_21007A60-</v>
      </c>
      <c r="C520">
        <v>1721</v>
      </c>
      <c r="D520">
        <v>713</v>
      </c>
      <c r="E520">
        <v>35.0098652</v>
      </c>
      <c r="F520">
        <v>0.86513157894736847</v>
      </c>
      <c r="G520">
        <f t="shared" si="24"/>
        <v>0.41429401510749564</v>
      </c>
      <c r="H520">
        <f t="shared" si="25"/>
        <v>0.53777721211999996</v>
      </c>
      <c r="I520">
        <f t="shared" si="26"/>
        <v>0.45223383293306041</v>
      </c>
      <c r="J520" t="s">
        <v>1155</v>
      </c>
      <c r="K520" t="s">
        <v>1654</v>
      </c>
    </row>
    <row r="521" spans="1:11" x14ac:dyDescent="0.3">
      <c r="A521" t="s">
        <v>489</v>
      </c>
      <c r="B521" t="str">
        <f>IF(Calculator!$B$1="NL",Data!K521,Data!J521)</f>
        <v>SAINT-ANTOINE_21005A12-</v>
      </c>
      <c r="C521">
        <v>4263</v>
      </c>
      <c r="D521">
        <v>1466</v>
      </c>
      <c r="E521">
        <v>35.737773160000003</v>
      </c>
      <c r="F521">
        <v>0.85407725321888417</v>
      </c>
      <c r="G521">
        <f t="shared" si="24"/>
        <v>0.343889279849871</v>
      </c>
      <c r="H521">
        <f t="shared" si="25"/>
        <v>0.55823142579600016</v>
      </c>
      <c r="I521">
        <f t="shared" si="26"/>
        <v>0.42850733518178874</v>
      </c>
      <c r="J521" t="s">
        <v>1156</v>
      </c>
      <c r="K521" t="s">
        <v>1655</v>
      </c>
    </row>
    <row r="522" spans="1:11" x14ac:dyDescent="0.3">
      <c r="A522" t="s">
        <v>377</v>
      </c>
      <c r="B522" t="str">
        <f>IF(Calculator!$B$1="NL",Data!K522,Data!J522)</f>
        <v>SAINT-BONIFACE_21009A051</v>
      </c>
      <c r="C522">
        <v>896</v>
      </c>
      <c r="D522">
        <v>177</v>
      </c>
      <c r="E522">
        <v>28.65014759</v>
      </c>
      <c r="F522">
        <v>0.37857142857142861</v>
      </c>
      <c r="G522">
        <f t="shared" si="24"/>
        <v>0.19754464285714285</v>
      </c>
      <c r="H522">
        <f t="shared" si="25"/>
        <v>0.35906914727900002</v>
      </c>
      <c r="I522">
        <f t="shared" si="26"/>
        <v>0.25047620556126432</v>
      </c>
      <c r="J522" t="s">
        <v>1157</v>
      </c>
      <c r="K522" t="s">
        <v>1656</v>
      </c>
    </row>
    <row r="523" spans="1:11" x14ac:dyDescent="0.3">
      <c r="A523" t="s">
        <v>625</v>
      </c>
      <c r="B523" t="str">
        <f>IF(Calculator!$B$1="NL",Data!K523,Data!J523)</f>
        <v>SAINTE-ALIX_21019A40-</v>
      </c>
      <c r="C523">
        <v>1214</v>
      </c>
      <c r="D523">
        <v>1212</v>
      </c>
      <c r="E523">
        <v>53.230417860000003</v>
      </c>
      <c r="F523">
        <v>0.89506172839506171</v>
      </c>
      <c r="G523">
        <f t="shared" si="24"/>
        <v>0.99835255354200991</v>
      </c>
      <c r="H523">
        <f t="shared" si="25"/>
        <v>1.0497747418660002</v>
      </c>
      <c r="I523">
        <f t="shared" si="26"/>
        <v>0.97286046531880477</v>
      </c>
      <c r="J523" t="s">
        <v>1158</v>
      </c>
      <c r="K523" t="s">
        <v>1657</v>
      </c>
    </row>
    <row r="524" spans="1:11" x14ac:dyDescent="0.3">
      <c r="A524" t="s">
        <v>72</v>
      </c>
      <c r="B524" t="str">
        <f>IF(Calculator!$B$1="NL",Data!K524,Data!J524)</f>
        <v>SAINTE-ANNE_21002A01-</v>
      </c>
      <c r="C524">
        <v>292</v>
      </c>
      <c r="D524">
        <v>250</v>
      </c>
      <c r="E524">
        <v>41.730324869999997</v>
      </c>
      <c r="F524">
        <v>0.83700440528634357</v>
      </c>
      <c r="G524">
        <f t="shared" si="24"/>
        <v>0.85616438356164382</v>
      </c>
      <c r="H524">
        <f t="shared" si="25"/>
        <v>0.72662212884700006</v>
      </c>
      <c r="I524">
        <f t="shared" si="26"/>
        <v>0.71225393058388986</v>
      </c>
      <c r="J524" t="s">
        <v>1159</v>
      </c>
      <c r="K524" t="s">
        <v>1658</v>
      </c>
    </row>
    <row r="525" spans="1:11" x14ac:dyDescent="0.3">
      <c r="A525" t="s">
        <v>326</v>
      </c>
      <c r="B525" t="str">
        <f>IF(Calculator!$B$1="NL",Data!K525,Data!J525)</f>
        <v>SAINTE-ANNE_21011A01-</v>
      </c>
      <c r="C525">
        <v>1733</v>
      </c>
      <c r="D525">
        <v>784</v>
      </c>
      <c r="E525">
        <v>29.474486800000001</v>
      </c>
      <c r="F525">
        <v>0.87769784172661869</v>
      </c>
      <c r="G525">
        <f t="shared" si="24"/>
        <v>0.45239469128678594</v>
      </c>
      <c r="H525">
        <f t="shared" si="25"/>
        <v>0.38223307907999998</v>
      </c>
      <c r="I525">
        <f t="shared" si="26"/>
        <v>0.39644819092422329</v>
      </c>
      <c r="J525" t="s">
        <v>1160</v>
      </c>
      <c r="K525" t="s">
        <v>1659</v>
      </c>
    </row>
    <row r="526" spans="1:11" x14ac:dyDescent="0.3">
      <c r="A526" t="s">
        <v>199</v>
      </c>
      <c r="B526" t="str">
        <f>IF(Calculator!$B$1="NL",Data!K526,Data!J526)</f>
        <v>SAINTE-ELISABETH_21004G30-</v>
      </c>
      <c r="C526">
        <v>1219</v>
      </c>
      <c r="D526">
        <v>1157</v>
      </c>
      <c r="E526">
        <v>44.404240700000003</v>
      </c>
      <c r="F526">
        <v>0.69469469469469469</v>
      </c>
      <c r="G526">
        <f t="shared" si="24"/>
        <v>0.94913863822805578</v>
      </c>
      <c r="H526">
        <f t="shared" si="25"/>
        <v>0.80175916367000011</v>
      </c>
      <c r="I526">
        <f t="shared" si="26"/>
        <v>0.7879040108541252</v>
      </c>
      <c r="J526" t="s">
        <v>1161</v>
      </c>
      <c r="K526" t="s">
        <v>1660</v>
      </c>
    </row>
    <row r="527" spans="1:11" x14ac:dyDescent="0.3">
      <c r="A527" t="s">
        <v>578</v>
      </c>
      <c r="B527" t="str">
        <f>IF(Calculator!$B$1="NL",Data!K527,Data!J527)</f>
        <v>SAINTE-FAMILLE_21018A30-</v>
      </c>
      <c r="C527">
        <v>695</v>
      </c>
      <c r="D527">
        <v>460</v>
      </c>
      <c r="E527">
        <v>38.477196059999997</v>
      </c>
      <c r="F527">
        <v>0.8231292517006803</v>
      </c>
      <c r="G527">
        <f t="shared" si="24"/>
        <v>0.66187050359712229</v>
      </c>
      <c r="H527">
        <f t="shared" si="25"/>
        <v>0.635209209286</v>
      </c>
      <c r="I527">
        <f t="shared" si="26"/>
        <v>0.58368587079740508</v>
      </c>
      <c r="J527" t="s">
        <v>1162</v>
      </c>
      <c r="K527" t="s">
        <v>1661</v>
      </c>
    </row>
    <row r="528" spans="1:11" x14ac:dyDescent="0.3">
      <c r="A528" t="s">
        <v>523</v>
      </c>
      <c r="B528" t="str">
        <f>IF(Calculator!$B$1="NL",Data!K528,Data!J528)</f>
        <v>SAINTE-FAMILLE_21015A142</v>
      </c>
      <c r="C528">
        <v>88</v>
      </c>
      <c r="D528">
        <v>51</v>
      </c>
      <c r="E528">
        <v>42.761903930000003</v>
      </c>
      <c r="F528">
        <v>0.88</v>
      </c>
      <c r="G528">
        <f t="shared" si="24"/>
        <v>0.57954545454545459</v>
      </c>
      <c r="H528">
        <f t="shared" si="25"/>
        <v>0.75560950043300013</v>
      </c>
      <c r="I528">
        <f t="shared" si="26"/>
        <v>0.63419860361476599</v>
      </c>
      <c r="J528" t="s">
        <v>1163</v>
      </c>
      <c r="K528" t="s">
        <v>1662</v>
      </c>
    </row>
    <row r="529" spans="1:11" x14ac:dyDescent="0.3">
      <c r="A529" t="s">
        <v>481</v>
      </c>
      <c r="B529" t="str">
        <f>IF(Calculator!$B$1="NL",Data!K529,Data!J529)</f>
        <v>SAINTE-GERTRUDE_21005A01-</v>
      </c>
      <c r="C529">
        <v>2198</v>
      </c>
      <c r="D529">
        <v>819</v>
      </c>
      <c r="E529">
        <v>35.757731010000001</v>
      </c>
      <c r="F529">
        <v>0.75800256081946227</v>
      </c>
      <c r="G529">
        <f t="shared" si="24"/>
        <v>0.37261146496815284</v>
      </c>
      <c r="H529">
        <f t="shared" si="25"/>
        <v>0.55879224138100003</v>
      </c>
      <c r="I529">
        <f t="shared" si="26"/>
        <v>0.41913166785711881</v>
      </c>
      <c r="J529" t="s">
        <v>1164</v>
      </c>
      <c r="K529" t="s">
        <v>1663</v>
      </c>
    </row>
    <row r="530" spans="1:11" x14ac:dyDescent="0.3">
      <c r="A530" t="s">
        <v>469</v>
      </c>
      <c r="B530" t="str">
        <f>IF(Calculator!$B$1="NL",Data!K530,Data!J530)</f>
        <v>SAINT-EXUPERY_21006A22-</v>
      </c>
      <c r="C530">
        <v>1041</v>
      </c>
      <c r="D530">
        <v>655</v>
      </c>
      <c r="E530">
        <v>40.034385579999999</v>
      </c>
      <c r="F530">
        <v>0.84037558685446012</v>
      </c>
      <c r="G530">
        <f t="shared" si="24"/>
        <v>0.62920268972142168</v>
      </c>
      <c r="H530">
        <f t="shared" si="25"/>
        <v>0.67896623479800011</v>
      </c>
      <c r="I530">
        <f t="shared" si="26"/>
        <v>0.58867601603373976</v>
      </c>
      <c r="J530" t="s">
        <v>1165</v>
      </c>
      <c r="K530" t="s">
        <v>1165</v>
      </c>
    </row>
    <row r="531" spans="1:11" x14ac:dyDescent="0.3">
      <c r="A531" t="s">
        <v>252</v>
      </c>
      <c r="B531" t="str">
        <f>IF(Calculator!$B$1="NL",Data!K531,Data!J531)</f>
        <v>SAINT-FRANCOIS_21014A10-</v>
      </c>
      <c r="C531">
        <v>963</v>
      </c>
      <c r="D531">
        <v>346</v>
      </c>
      <c r="E531">
        <v>29.863131599999999</v>
      </c>
      <c r="F531">
        <v>0.8850174216027874</v>
      </c>
      <c r="G531">
        <f t="shared" si="24"/>
        <v>0.3592938733125649</v>
      </c>
      <c r="H531">
        <f t="shared" si="25"/>
        <v>0.39315399796</v>
      </c>
      <c r="I531">
        <f t="shared" si="26"/>
        <v>0.35741273885446828</v>
      </c>
      <c r="J531" t="s">
        <v>1166</v>
      </c>
      <c r="K531" t="s">
        <v>1664</v>
      </c>
    </row>
    <row r="532" spans="1:11" x14ac:dyDescent="0.3">
      <c r="A532" t="s">
        <v>118</v>
      </c>
      <c r="B532" t="str">
        <f>IF(Calculator!$B$1="NL",Data!K532,Data!J532)</f>
        <v>SAINT-FRANCOIS XAVIER_21004A02-</v>
      </c>
      <c r="C532">
        <v>1062</v>
      </c>
      <c r="D532">
        <v>219</v>
      </c>
      <c r="E532">
        <v>34.017977170000002</v>
      </c>
      <c r="F532">
        <v>0.62647754137115841</v>
      </c>
      <c r="G532">
        <f t="shared" si="24"/>
        <v>0.20621468926553671</v>
      </c>
      <c r="H532">
        <f t="shared" si="25"/>
        <v>0.50990515847700002</v>
      </c>
      <c r="I532">
        <f t="shared" si="26"/>
        <v>0.32225393148414155</v>
      </c>
      <c r="J532" t="s">
        <v>1167</v>
      </c>
      <c r="K532" t="s">
        <v>1665</v>
      </c>
    </row>
    <row r="533" spans="1:11" x14ac:dyDescent="0.3">
      <c r="A533" t="s">
        <v>393</v>
      </c>
      <c r="B533" t="str">
        <f>IF(Calculator!$B$1="NL",Data!K533,Data!J533)</f>
        <v>SAINT-GEORGES_21009A41-</v>
      </c>
      <c r="C533">
        <v>1369</v>
      </c>
      <c r="D533">
        <v>599</v>
      </c>
      <c r="E533">
        <v>35.877443810000003</v>
      </c>
      <c r="F533">
        <v>0.94247787610619471</v>
      </c>
      <c r="G533">
        <f t="shared" si="24"/>
        <v>0.43754565376186999</v>
      </c>
      <c r="H533">
        <f t="shared" si="25"/>
        <v>0.56215617106100013</v>
      </c>
      <c r="I533">
        <f t="shared" si="26"/>
        <v>0.4748583667908633</v>
      </c>
      <c r="J533" t="s">
        <v>1168</v>
      </c>
      <c r="K533" t="s">
        <v>1666</v>
      </c>
    </row>
    <row r="534" spans="1:11" x14ac:dyDescent="0.3">
      <c r="A534" t="s">
        <v>273</v>
      </c>
      <c r="B534" t="str">
        <f>IF(Calculator!$B$1="NL",Data!K534,Data!J534)</f>
        <v>SAINT-JOB_21016A400</v>
      </c>
      <c r="C534">
        <v>1235</v>
      </c>
      <c r="D534">
        <v>968</v>
      </c>
      <c r="E534">
        <v>44.175159379999997</v>
      </c>
      <c r="F534">
        <v>0.64183006535947718</v>
      </c>
      <c r="G534">
        <f t="shared" si="24"/>
        <v>0.78380566801619433</v>
      </c>
      <c r="H534">
        <f t="shared" si="25"/>
        <v>0.79532197857799991</v>
      </c>
      <c r="I534">
        <f t="shared" si="26"/>
        <v>0.71060744096738748</v>
      </c>
      <c r="J534" t="s">
        <v>1169</v>
      </c>
      <c r="K534" t="s">
        <v>1667</v>
      </c>
    </row>
    <row r="535" spans="1:11" x14ac:dyDescent="0.3">
      <c r="A535" t="s">
        <v>209</v>
      </c>
      <c r="B535" t="str">
        <f>IF(Calculator!$B$1="NL",Data!K535,Data!J535)</f>
        <v>SAINT-JOSEPH_21012A05-</v>
      </c>
      <c r="C535">
        <v>385</v>
      </c>
      <c r="D535">
        <v>159</v>
      </c>
      <c r="E535">
        <v>29.801266609999999</v>
      </c>
      <c r="F535">
        <v>0.94230769230769229</v>
      </c>
      <c r="G535">
        <f t="shared" si="24"/>
        <v>0.41298701298701301</v>
      </c>
      <c r="H535">
        <f t="shared" si="25"/>
        <v>0.39141559174099999</v>
      </c>
      <c r="I535">
        <f t="shared" si="26"/>
        <v>0.38209123724580618</v>
      </c>
      <c r="J535" t="s">
        <v>1170</v>
      </c>
      <c r="K535" t="s">
        <v>1668</v>
      </c>
    </row>
    <row r="536" spans="1:11" x14ac:dyDescent="0.3">
      <c r="A536" t="s">
        <v>82</v>
      </c>
      <c r="B536" t="str">
        <f>IF(Calculator!$B$1="NL",Data!K536,Data!J536)</f>
        <v>SAINT-JULIEN_21002A20-</v>
      </c>
      <c r="C536">
        <v>554</v>
      </c>
      <c r="D536">
        <v>369</v>
      </c>
      <c r="E536">
        <v>32.911816539999997</v>
      </c>
      <c r="F536">
        <v>0.83573487031700289</v>
      </c>
      <c r="G536">
        <f t="shared" si="24"/>
        <v>0.66606498194945851</v>
      </c>
      <c r="H536">
        <f t="shared" si="25"/>
        <v>0.47882204477399987</v>
      </c>
      <c r="I536">
        <f t="shared" si="26"/>
        <v>0.51519916202555627</v>
      </c>
      <c r="J536" t="s">
        <v>1171</v>
      </c>
      <c r="K536" t="s">
        <v>1669</v>
      </c>
    </row>
    <row r="537" spans="1:11" x14ac:dyDescent="0.3">
      <c r="A537" t="s">
        <v>564</v>
      </c>
      <c r="B537" t="str">
        <f>IF(Calculator!$B$1="NL",Data!K537,Data!J537)</f>
        <v>SAINT-LAMBERT_21018A01-</v>
      </c>
      <c r="C537">
        <v>559</v>
      </c>
      <c r="D537">
        <v>420</v>
      </c>
      <c r="E537">
        <v>40.946338840000003</v>
      </c>
      <c r="F537">
        <v>0.48039215686274511</v>
      </c>
      <c r="G537">
        <f t="shared" si="24"/>
        <v>0.75134168157423975</v>
      </c>
      <c r="H537">
        <f t="shared" si="25"/>
        <v>0.70459212140400007</v>
      </c>
      <c r="I537">
        <f t="shared" si="26"/>
        <v>0.65517021134020792</v>
      </c>
      <c r="J537" t="s">
        <v>1172</v>
      </c>
      <c r="K537" t="s">
        <v>1670</v>
      </c>
    </row>
    <row r="538" spans="1:11" x14ac:dyDescent="0.3">
      <c r="A538" t="s">
        <v>253</v>
      </c>
      <c r="B538" t="str">
        <f>IF(Calculator!$B$1="NL",Data!K538,Data!J538)</f>
        <v>SAINT-LAZARE_21014A12-</v>
      </c>
      <c r="C538">
        <v>191</v>
      </c>
      <c r="D538">
        <v>39</v>
      </c>
      <c r="E538">
        <v>30.22973717</v>
      </c>
      <c r="F538">
        <v>0.1875</v>
      </c>
      <c r="G538">
        <f t="shared" si="24"/>
        <v>0.20418848167539266</v>
      </c>
      <c r="H538">
        <f t="shared" si="25"/>
        <v>0.40345561447700001</v>
      </c>
      <c r="I538">
        <f t="shared" si="26"/>
        <v>0.27343984326857673</v>
      </c>
      <c r="J538" t="s">
        <v>1173</v>
      </c>
      <c r="K538" t="s">
        <v>1671</v>
      </c>
    </row>
    <row r="539" spans="1:11" x14ac:dyDescent="0.3">
      <c r="A539" t="s">
        <v>600</v>
      </c>
      <c r="B539" t="str">
        <f>IF(Calculator!$B$1="NL",Data!K539,Data!J539)</f>
        <v>SAINT-LUC_21018A87-</v>
      </c>
      <c r="C539">
        <v>1056</v>
      </c>
      <c r="D539">
        <v>107</v>
      </c>
      <c r="E539">
        <v>33.699325999999999</v>
      </c>
      <c r="F539">
        <v>0.23966942148760331</v>
      </c>
      <c r="G539">
        <f t="shared" si="24"/>
        <v>0.10132575757575757</v>
      </c>
      <c r="H539">
        <f t="shared" si="25"/>
        <v>0.50095106060000005</v>
      </c>
      <c r="I539">
        <f t="shared" si="26"/>
        <v>0.27102456817909093</v>
      </c>
      <c r="J539" t="s">
        <v>1174</v>
      </c>
      <c r="K539" t="s">
        <v>1672</v>
      </c>
    </row>
    <row r="540" spans="1:11" x14ac:dyDescent="0.3">
      <c r="A540" t="s">
        <v>492</v>
      </c>
      <c r="B540" t="str">
        <f>IF(Calculator!$B$1="NL",Data!K540,Data!J540)</f>
        <v>SAINT-MICHEL COLLEGE_21005A15-</v>
      </c>
      <c r="C540">
        <v>1033</v>
      </c>
      <c r="D540">
        <v>669</v>
      </c>
      <c r="E540">
        <v>34.65912514</v>
      </c>
      <c r="F540">
        <v>0.65758091993185686</v>
      </c>
      <c r="G540">
        <f t="shared" si="24"/>
        <v>0.64762826718296229</v>
      </c>
      <c r="H540">
        <f t="shared" si="25"/>
        <v>0.52792141643400003</v>
      </c>
      <c r="I540">
        <f t="shared" si="26"/>
        <v>0.52899735762763311</v>
      </c>
      <c r="J540" t="s">
        <v>1175</v>
      </c>
      <c r="K540" t="s">
        <v>1673</v>
      </c>
    </row>
    <row r="541" spans="1:11" x14ac:dyDescent="0.3">
      <c r="A541" t="s">
        <v>613</v>
      </c>
      <c r="B541" t="str">
        <f>IF(Calculator!$B$1="NL",Data!K541,Data!J541)</f>
        <v>SAINT-PAUL_21019A20-</v>
      </c>
      <c r="C541">
        <v>480</v>
      </c>
      <c r="D541">
        <v>560</v>
      </c>
      <c r="E541">
        <v>47.84737629</v>
      </c>
      <c r="F541">
        <v>0.49528936742934049</v>
      </c>
      <c r="G541">
        <f t="shared" si="24"/>
        <v>1.1666666666666667</v>
      </c>
      <c r="H541">
        <f t="shared" si="25"/>
        <v>0.89851127374899997</v>
      </c>
      <c r="I541">
        <f t="shared" si="26"/>
        <v>0.92933007318704997</v>
      </c>
      <c r="J541" t="s">
        <v>1176</v>
      </c>
      <c r="K541" t="s">
        <v>1674</v>
      </c>
    </row>
    <row r="542" spans="1:11" x14ac:dyDescent="0.3">
      <c r="A542" t="s">
        <v>416</v>
      </c>
      <c r="B542" t="str">
        <f>IF(Calculator!$B$1="NL",Data!K542,Data!J542)</f>
        <v>SAINT-PHILIPPE DE NERI_21009A90-</v>
      </c>
      <c r="C542">
        <v>856</v>
      </c>
      <c r="D542">
        <v>332</v>
      </c>
      <c r="E542">
        <v>33.503681950000001</v>
      </c>
      <c r="F542">
        <v>0.85</v>
      </c>
      <c r="G542">
        <f t="shared" si="24"/>
        <v>0.38785046728971961</v>
      </c>
      <c r="H542">
        <f t="shared" si="25"/>
        <v>0.49545346279499997</v>
      </c>
      <c r="I542">
        <f t="shared" si="26"/>
        <v>0.41956936679024182</v>
      </c>
      <c r="J542" t="s">
        <v>1177</v>
      </c>
      <c r="K542" t="s">
        <v>1675</v>
      </c>
    </row>
    <row r="543" spans="1:11" x14ac:dyDescent="0.3">
      <c r="A543" t="s">
        <v>139</v>
      </c>
      <c r="B543" t="str">
        <f>IF(Calculator!$B$1="NL",Data!K543,Data!J543)</f>
        <v>SAINT-THOMAS (INSTITUT)_21004A72-</v>
      </c>
      <c r="C543">
        <v>789</v>
      </c>
      <c r="D543">
        <v>173</v>
      </c>
      <c r="E543">
        <v>31.723252080000002</v>
      </c>
      <c r="F543">
        <v>0.62926829268292683</v>
      </c>
      <c r="G543">
        <f t="shared" si="24"/>
        <v>0.21926489226869456</v>
      </c>
      <c r="H543">
        <f t="shared" si="25"/>
        <v>0.44542338344800009</v>
      </c>
      <c r="I543">
        <f t="shared" si="26"/>
        <v>0.29910972407251257</v>
      </c>
      <c r="J543" t="s">
        <v>1178</v>
      </c>
      <c r="K543" t="s">
        <v>1676</v>
      </c>
    </row>
    <row r="544" spans="1:11" x14ac:dyDescent="0.3">
      <c r="A544" t="s">
        <v>627</v>
      </c>
      <c r="B544" t="str">
        <f>IF(Calculator!$B$1="NL",Data!K544,Data!J544)</f>
        <v>SALOME AVENUE_21019A42-</v>
      </c>
      <c r="C544">
        <v>649</v>
      </c>
      <c r="D544">
        <v>604</v>
      </c>
      <c r="E544">
        <v>50.745858179999999</v>
      </c>
      <c r="F544">
        <v>0.40140845070422537</v>
      </c>
      <c r="G544">
        <f t="shared" si="24"/>
        <v>0.93066255778120188</v>
      </c>
      <c r="H544">
        <f t="shared" si="25"/>
        <v>0.97995861485799995</v>
      </c>
      <c r="I544">
        <f t="shared" si="26"/>
        <v>0.85977952768764088</v>
      </c>
      <c r="J544" t="s">
        <v>1179</v>
      </c>
      <c r="K544" t="s">
        <v>1677</v>
      </c>
    </row>
    <row r="545" spans="1:11" x14ac:dyDescent="0.3">
      <c r="A545" t="s">
        <v>30</v>
      </c>
      <c r="B545" t="str">
        <f>IF(Calculator!$B$1="NL",Data!K545,Data!J545)</f>
        <v>SCHERDEMAEL_21001A51-</v>
      </c>
      <c r="C545">
        <v>812</v>
      </c>
      <c r="D545">
        <v>600</v>
      </c>
      <c r="E545">
        <v>41.95927854</v>
      </c>
      <c r="F545">
        <v>0.67307692307692313</v>
      </c>
      <c r="G545">
        <f t="shared" si="24"/>
        <v>0.73891625615763545</v>
      </c>
      <c r="H545">
        <f t="shared" si="25"/>
        <v>0.73305572697400012</v>
      </c>
      <c r="I545">
        <f t="shared" si="26"/>
        <v>0.66238739240923605</v>
      </c>
      <c r="J545" t="s">
        <v>1180</v>
      </c>
      <c r="K545" t="s">
        <v>1678</v>
      </c>
    </row>
    <row r="546" spans="1:11" x14ac:dyDescent="0.3">
      <c r="A546" t="s">
        <v>31</v>
      </c>
      <c r="B546" t="str">
        <f>IF(Calculator!$B$1="NL",Data!K546,Data!J546)</f>
        <v>SCHERDEMAEL-NORD_21001A52-</v>
      </c>
      <c r="C546">
        <v>233</v>
      </c>
      <c r="D546">
        <v>218</v>
      </c>
      <c r="E546">
        <v>43.727922290000002</v>
      </c>
      <c r="F546">
        <v>0.54113924050632911</v>
      </c>
      <c r="G546">
        <f t="shared" si="24"/>
        <v>0.93562231759656656</v>
      </c>
      <c r="H546">
        <f t="shared" si="25"/>
        <v>0.78275461634900001</v>
      </c>
      <c r="I546">
        <f t="shared" si="26"/>
        <v>0.77326962027550494</v>
      </c>
      <c r="J546" t="s">
        <v>1181</v>
      </c>
      <c r="K546" t="s">
        <v>1679</v>
      </c>
    </row>
    <row r="547" spans="1:11" x14ac:dyDescent="0.3">
      <c r="A547" t="s">
        <v>34</v>
      </c>
      <c r="B547" t="str">
        <f>IF(Calculator!$B$1="NL",Data!K547,Data!J547)</f>
        <v>SCHEUT - DE SMET_21001A712</v>
      </c>
      <c r="C547">
        <v>388</v>
      </c>
      <c r="D547">
        <v>197</v>
      </c>
      <c r="E547">
        <v>35.12807978</v>
      </c>
      <c r="F547">
        <v>0.81958762886597936</v>
      </c>
      <c r="G547">
        <f t="shared" si="24"/>
        <v>0.50773195876288657</v>
      </c>
      <c r="H547">
        <f t="shared" si="25"/>
        <v>0.54109904181799995</v>
      </c>
      <c r="I547">
        <f t="shared" si="26"/>
        <v>0.47197395026139893</v>
      </c>
      <c r="J547" t="s">
        <v>1182</v>
      </c>
      <c r="K547" t="s">
        <v>1182</v>
      </c>
    </row>
    <row r="548" spans="1:11" x14ac:dyDescent="0.3">
      <c r="A548" t="s">
        <v>45</v>
      </c>
      <c r="B548" t="str">
        <f>IF(Calculator!$B$1="NL",Data!K548,Data!J548)</f>
        <v>SCHEUT-EST_21001A911</v>
      </c>
      <c r="C548">
        <v>920</v>
      </c>
      <c r="D548">
        <v>553</v>
      </c>
      <c r="E548">
        <v>34.273075159999998</v>
      </c>
      <c r="F548">
        <v>0.87061994609164417</v>
      </c>
      <c r="G548">
        <f t="shared" si="24"/>
        <v>0.60108695652173916</v>
      </c>
      <c r="H548">
        <f t="shared" si="25"/>
        <v>0.51707341199599988</v>
      </c>
      <c r="I548">
        <f t="shared" si="26"/>
        <v>0.53112617504592596</v>
      </c>
      <c r="J548" t="s">
        <v>1183</v>
      </c>
      <c r="K548" t="s">
        <v>1680</v>
      </c>
    </row>
    <row r="549" spans="1:11" x14ac:dyDescent="0.3">
      <c r="A549" t="s">
        <v>44</v>
      </c>
      <c r="B549" t="str">
        <f>IF(Calculator!$B$1="NL",Data!K549,Data!J549)</f>
        <v>SCHEUTKAPEL_21001A90-</v>
      </c>
      <c r="C549">
        <v>993</v>
      </c>
      <c r="D549">
        <v>494</v>
      </c>
      <c r="E549">
        <v>37.882659310000001</v>
      </c>
      <c r="F549">
        <v>0.84267241379310343</v>
      </c>
      <c r="G549">
        <f t="shared" si="24"/>
        <v>0.49748237663645517</v>
      </c>
      <c r="H549">
        <f t="shared" si="25"/>
        <v>0.61850272661100014</v>
      </c>
      <c r="I549">
        <f t="shared" si="26"/>
        <v>0.50219329646135491</v>
      </c>
      <c r="J549" t="s">
        <v>1184</v>
      </c>
      <c r="K549" t="s">
        <v>1184</v>
      </c>
    </row>
    <row r="550" spans="1:11" x14ac:dyDescent="0.3">
      <c r="A550" t="s">
        <v>37</v>
      </c>
      <c r="B550" t="str">
        <f>IF(Calculator!$B$1="NL",Data!K550,Data!J550)</f>
        <v>SCHEUT-OUEST_21001A74-</v>
      </c>
      <c r="C550">
        <v>941</v>
      </c>
      <c r="D550">
        <v>637</v>
      </c>
      <c r="E550">
        <v>36.004002810000003</v>
      </c>
      <c r="F550">
        <v>0.92820512820512824</v>
      </c>
      <c r="G550">
        <f t="shared" si="24"/>
        <v>0.67693942614240166</v>
      </c>
      <c r="H550">
        <f t="shared" si="25"/>
        <v>0.56571247896100019</v>
      </c>
      <c r="I550">
        <f t="shared" si="26"/>
        <v>0.59025965492411592</v>
      </c>
      <c r="J550" t="s">
        <v>1185</v>
      </c>
      <c r="K550" t="s">
        <v>1681</v>
      </c>
    </row>
    <row r="551" spans="1:11" x14ac:dyDescent="0.3">
      <c r="A551" t="s">
        <v>36</v>
      </c>
      <c r="B551" t="str">
        <f>IF(Calculator!$B$1="NL",Data!K551,Data!J551)</f>
        <v>SCHEUTVELD_21001A732</v>
      </c>
      <c r="C551">
        <v>107</v>
      </c>
      <c r="D551">
        <v>117</v>
      </c>
      <c r="E551">
        <v>34.453744819999997</v>
      </c>
      <c r="F551">
        <v>0.5714285714285714</v>
      </c>
      <c r="G551">
        <f t="shared" si="24"/>
        <v>1.0934579439252337</v>
      </c>
      <c r="H551">
        <f t="shared" si="25"/>
        <v>0.52215022944199996</v>
      </c>
      <c r="I551">
        <f t="shared" si="26"/>
        <v>0.72702367801525514</v>
      </c>
      <c r="J551" t="s">
        <v>1186</v>
      </c>
      <c r="K551" t="s">
        <v>1186</v>
      </c>
    </row>
    <row r="552" spans="1:11" x14ac:dyDescent="0.3">
      <c r="A552" t="s">
        <v>413</v>
      </c>
      <c r="B552" t="str">
        <f>IF(Calculator!$B$1="NL",Data!K552,Data!J552)</f>
        <v>SCHOOLGAT_21009A812</v>
      </c>
      <c r="C552">
        <v>245</v>
      </c>
      <c r="D552">
        <v>189</v>
      </c>
      <c r="E552">
        <v>44.489131090000001</v>
      </c>
      <c r="F552">
        <v>0.54285714285714282</v>
      </c>
      <c r="G552">
        <f t="shared" si="24"/>
        <v>0.77142857142857146</v>
      </c>
      <c r="H552">
        <f t="shared" si="25"/>
        <v>0.80414458362899999</v>
      </c>
      <c r="I552">
        <f t="shared" si="26"/>
        <v>0.70900791977590727</v>
      </c>
      <c r="J552" t="s">
        <v>1187</v>
      </c>
      <c r="K552" t="s">
        <v>1187</v>
      </c>
    </row>
    <row r="553" spans="1:11" x14ac:dyDescent="0.3">
      <c r="A553" t="s">
        <v>146</v>
      </c>
      <c r="B553" t="str">
        <f>IF(Calculator!$B$1="NL",Data!K553,Data!J553)</f>
        <v>SCHUMAN (ROND-POINT)_21004B2MJ</v>
      </c>
      <c r="C553">
        <v>471</v>
      </c>
      <c r="D553">
        <v>177</v>
      </c>
      <c r="E553">
        <v>29.70979337</v>
      </c>
      <c r="F553">
        <v>0.44298245614035092</v>
      </c>
      <c r="G553">
        <f t="shared" si="24"/>
        <v>0.37579617834394907</v>
      </c>
      <c r="H553">
        <f t="shared" si="25"/>
        <v>0.38884519369699994</v>
      </c>
      <c r="I553">
        <f t="shared" si="26"/>
        <v>0.34408861741842711</v>
      </c>
      <c r="J553" t="s">
        <v>1188</v>
      </c>
      <c r="K553" t="s">
        <v>1682</v>
      </c>
    </row>
    <row r="554" spans="1:11" x14ac:dyDescent="0.3">
      <c r="A554" t="s">
        <v>128</v>
      </c>
      <c r="B554" t="str">
        <f>IF(Calculator!$B$1="NL",Data!K554,Data!J554)</f>
        <v>SENNE (RUE DE LA)_21004A22-</v>
      </c>
      <c r="C554">
        <v>1883</v>
      </c>
      <c r="D554">
        <v>587</v>
      </c>
      <c r="E554">
        <v>32.469847649999998</v>
      </c>
      <c r="F554">
        <v>0.79491255961844198</v>
      </c>
      <c r="G554">
        <f t="shared" si="24"/>
        <v>0.31173659054699948</v>
      </c>
      <c r="H554">
        <f t="shared" si="25"/>
        <v>0.46640271896499991</v>
      </c>
      <c r="I554">
        <f t="shared" si="26"/>
        <v>0.35016268928039973</v>
      </c>
      <c r="J554" t="s">
        <v>1189</v>
      </c>
      <c r="K554" t="s">
        <v>1683</v>
      </c>
    </row>
    <row r="555" spans="1:11" x14ac:dyDescent="0.3">
      <c r="A555" t="s">
        <v>111</v>
      </c>
      <c r="B555" t="str">
        <f>IF(Calculator!$B$1="NL",Data!K555,Data!J555)</f>
        <v>SEPT ETOILES_21003A323</v>
      </c>
      <c r="C555">
        <v>424</v>
      </c>
      <c r="D555">
        <v>340</v>
      </c>
      <c r="E555">
        <v>37.474034209999999</v>
      </c>
      <c r="F555">
        <v>0.71250000000000002</v>
      </c>
      <c r="G555">
        <f t="shared" si="24"/>
        <v>0.80188679245283023</v>
      </c>
      <c r="H555">
        <f t="shared" si="25"/>
        <v>0.60702036130100012</v>
      </c>
      <c r="I555">
        <f t="shared" si="26"/>
        <v>0.63400821918922368</v>
      </c>
      <c r="J555" t="s">
        <v>1190</v>
      </c>
      <c r="K555" t="s">
        <v>1684</v>
      </c>
    </row>
    <row r="556" spans="1:11" x14ac:dyDescent="0.3">
      <c r="A556" t="s">
        <v>301</v>
      </c>
      <c r="B556" t="str">
        <f>IF(Calculator!$B$1="NL",Data!K556,Data!J556)</f>
        <v>SEPT-BONNIERS_21016A943</v>
      </c>
      <c r="C556">
        <v>515</v>
      </c>
      <c r="D556">
        <v>253</v>
      </c>
      <c r="E556">
        <v>42.135387649999998</v>
      </c>
      <c r="F556">
        <v>1.010416666666667</v>
      </c>
      <c r="G556">
        <f t="shared" si="24"/>
        <v>0.49126213592233009</v>
      </c>
      <c r="H556">
        <f t="shared" si="25"/>
        <v>0.73800439296499998</v>
      </c>
      <c r="I556">
        <f t="shared" si="26"/>
        <v>0.61463326444366506</v>
      </c>
      <c r="J556" t="s">
        <v>1191</v>
      </c>
      <c r="K556" t="s">
        <v>1685</v>
      </c>
    </row>
    <row r="557" spans="1:11" x14ac:dyDescent="0.3">
      <c r="A557" t="s">
        <v>38</v>
      </c>
      <c r="B557" t="str">
        <f>IF(Calculator!$B$1="NL",Data!K557,Data!J557)</f>
        <v>SILLON_21001A80-</v>
      </c>
      <c r="C557">
        <v>1225</v>
      </c>
      <c r="D557">
        <v>847</v>
      </c>
      <c r="E557">
        <v>37.3460684</v>
      </c>
      <c r="F557">
        <v>0.86016949152542377</v>
      </c>
      <c r="G557">
        <f t="shared" si="24"/>
        <v>0.69142857142857139</v>
      </c>
      <c r="H557">
        <f t="shared" si="25"/>
        <v>0.60342452204000008</v>
      </c>
      <c r="I557">
        <f t="shared" si="26"/>
        <v>0.61505521939757135</v>
      </c>
      <c r="J557" t="s">
        <v>1192</v>
      </c>
      <c r="K557" t="s">
        <v>1686</v>
      </c>
    </row>
    <row r="558" spans="1:11" x14ac:dyDescent="0.3">
      <c r="A558" t="s">
        <v>229</v>
      </c>
      <c r="B558" t="str">
        <f>IF(Calculator!$B$1="NL",Data!K558,Data!J558)</f>
        <v>SIPPELBERG_21012A53-</v>
      </c>
      <c r="C558">
        <v>107</v>
      </c>
      <c r="D558">
        <v>51</v>
      </c>
      <c r="E558">
        <v>32.338886330000001</v>
      </c>
      <c r="F558">
        <v>0.68141592920353977</v>
      </c>
      <c r="G558">
        <f t="shared" si="24"/>
        <v>0.47663551401869159</v>
      </c>
      <c r="H558">
        <f t="shared" si="25"/>
        <v>0.46272270587300007</v>
      </c>
      <c r="I558">
        <f t="shared" si="26"/>
        <v>0.42271119895126125</v>
      </c>
      <c r="J558" t="s">
        <v>1193</v>
      </c>
      <c r="K558" t="s">
        <v>1193</v>
      </c>
    </row>
    <row r="559" spans="1:11" x14ac:dyDescent="0.3">
      <c r="A559" t="s">
        <v>335</v>
      </c>
      <c r="B559" t="str">
        <f>IF(Calculator!$B$1="NL",Data!K559,Data!J559)</f>
        <v>SIPPELBERG_21008A02-</v>
      </c>
      <c r="C559">
        <v>1339</v>
      </c>
      <c r="D559">
        <v>749</v>
      </c>
      <c r="E559">
        <v>33.735083009999997</v>
      </c>
      <c r="F559">
        <v>0.80336134453781516</v>
      </c>
      <c r="G559">
        <f t="shared" si="24"/>
        <v>0.55937266616878267</v>
      </c>
      <c r="H559">
        <f t="shared" si="25"/>
        <v>0.50195583258099985</v>
      </c>
      <c r="I559">
        <f t="shared" si="26"/>
        <v>0.47759782443740212</v>
      </c>
      <c r="J559" t="s">
        <v>1194</v>
      </c>
      <c r="K559" t="s">
        <v>1194</v>
      </c>
    </row>
    <row r="560" spans="1:11" x14ac:dyDescent="0.3">
      <c r="A560" t="s">
        <v>565</v>
      </c>
      <c r="B560" t="str">
        <f>IF(Calculator!$B$1="NL",Data!K560,Data!J560)</f>
        <v>SLEGERS (AVENUE)_21018A02-</v>
      </c>
      <c r="C560">
        <v>659</v>
      </c>
      <c r="D560">
        <v>522</v>
      </c>
      <c r="E560">
        <v>38.753848419999997</v>
      </c>
      <c r="F560">
        <v>0.9083665338645418</v>
      </c>
      <c r="G560">
        <f t="shared" si="24"/>
        <v>0.79210925644916541</v>
      </c>
      <c r="H560">
        <f t="shared" si="25"/>
        <v>0.6429831406019999</v>
      </c>
      <c r="I560">
        <f t="shared" si="26"/>
        <v>0.68166888859930352</v>
      </c>
      <c r="J560" t="s">
        <v>1195</v>
      </c>
      <c r="K560" t="s">
        <v>1687</v>
      </c>
    </row>
    <row r="561" spans="1:11" x14ac:dyDescent="0.3">
      <c r="A561" t="s">
        <v>67</v>
      </c>
      <c r="B561" t="str">
        <f>IF(Calculator!$B$1="NL",Data!K561,Data!J561)</f>
        <v>SOETKIN_21001C611</v>
      </c>
      <c r="C561">
        <v>244</v>
      </c>
      <c r="D561">
        <v>256</v>
      </c>
      <c r="E561">
        <v>39.223617480000001</v>
      </c>
      <c r="F561">
        <v>0.2147435897435897</v>
      </c>
      <c r="G561">
        <f t="shared" si="24"/>
        <v>1.0491803278688525</v>
      </c>
      <c r="H561">
        <f t="shared" si="25"/>
        <v>0.65618365118800015</v>
      </c>
      <c r="I561">
        <f t="shared" si="26"/>
        <v>0.76741379057558368</v>
      </c>
      <c r="J561" t="s">
        <v>1196</v>
      </c>
      <c r="K561" t="s">
        <v>1196</v>
      </c>
    </row>
    <row r="562" spans="1:11" x14ac:dyDescent="0.3">
      <c r="A562" t="s">
        <v>81</v>
      </c>
      <c r="B562" t="str">
        <f>IF(Calculator!$B$1="NL",Data!K562,Data!J562)</f>
        <v>SOUVERAIN (BLV DU)- BUILDINGS_21002A15-</v>
      </c>
      <c r="C562">
        <v>93</v>
      </c>
      <c r="D562">
        <v>57</v>
      </c>
      <c r="E562">
        <v>31.420620939999999</v>
      </c>
      <c r="F562">
        <v>0.5625</v>
      </c>
      <c r="G562">
        <f t="shared" si="24"/>
        <v>0.61290322580645162</v>
      </c>
      <c r="H562">
        <f t="shared" si="25"/>
        <v>0.43691944841399993</v>
      </c>
      <c r="I562">
        <f t="shared" si="26"/>
        <v>0.47242020339920321</v>
      </c>
      <c r="J562" t="s">
        <v>1197</v>
      </c>
      <c r="K562" t="s">
        <v>1688</v>
      </c>
    </row>
    <row r="563" spans="1:11" x14ac:dyDescent="0.3">
      <c r="A563" t="s">
        <v>92</v>
      </c>
      <c r="B563" t="str">
        <f>IF(Calculator!$B$1="NL",Data!K563,Data!J563)</f>
        <v>SOUVERAIN (BOULEVARD DU) NORD_21002A43-</v>
      </c>
      <c r="C563">
        <v>892</v>
      </c>
      <c r="D563">
        <v>613</v>
      </c>
      <c r="E563">
        <v>43.97487564</v>
      </c>
      <c r="F563">
        <v>0.56896551724137934</v>
      </c>
      <c r="G563">
        <f t="shared" si="24"/>
        <v>0.68721973094170408</v>
      </c>
      <c r="H563">
        <f t="shared" si="25"/>
        <v>0.78969400548400004</v>
      </c>
      <c r="I563">
        <f t="shared" si="26"/>
        <v>0.66461118139156683</v>
      </c>
      <c r="J563" t="s">
        <v>1198</v>
      </c>
      <c r="K563" t="s">
        <v>1689</v>
      </c>
    </row>
    <row r="564" spans="1:11" x14ac:dyDescent="0.3">
      <c r="A564" t="s">
        <v>313</v>
      </c>
      <c r="B564" t="str">
        <f>IF(Calculator!$B$1="NL",Data!K564,Data!J564)</f>
        <v>SOUVERAIN-OUEST_21017A240</v>
      </c>
      <c r="C564">
        <v>366</v>
      </c>
      <c r="D564">
        <v>350</v>
      </c>
      <c r="E564">
        <v>48.165650220000003</v>
      </c>
      <c r="F564">
        <v>0.63600000000000001</v>
      </c>
      <c r="G564">
        <f t="shared" si="24"/>
        <v>0.95628415300546443</v>
      </c>
      <c r="H564">
        <f t="shared" si="25"/>
        <v>0.90745477118200024</v>
      </c>
      <c r="I564">
        <f t="shared" si="26"/>
        <v>0.83868251588435916</v>
      </c>
      <c r="J564" t="s">
        <v>1199</v>
      </c>
      <c r="K564" t="s">
        <v>1690</v>
      </c>
    </row>
    <row r="565" spans="1:11" x14ac:dyDescent="0.3">
      <c r="A565" t="s">
        <v>391</v>
      </c>
      <c r="B565" t="str">
        <f>IF(Calculator!$B$1="NL",Data!K565,Data!J565)</f>
        <v>STADE COMMUNAL_21009A34-</v>
      </c>
      <c r="C565">
        <v>238</v>
      </c>
      <c r="D565">
        <v>104</v>
      </c>
      <c r="E565">
        <v>40.591975140000002</v>
      </c>
      <c r="F565">
        <v>0.64777327935222673</v>
      </c>
      <c r="G565">
        <f t="shared" si="24"/>
        <v>0.43697478991596639</v>
      </c>
      <c r="H565">
        <f t="shared" si="25"/>
        <v>0.69463450143400007</v>
      </c>
      <c r="I565">
        <f t="shared" si="26"/>
        <v>0.50922418110748491</v>
      </c>
      <c r="J565" t="s">
        <v>1200</v>
      </c>
      <c r="K565" t="s">
        <v>1691</v>
      </c>
    </row>
    <row r="566" spans="1:11" x14ac:dyDescent="0.3">
      <c r="A566" t="s">
        <v>28</v>
      </c>
      <c r="B566" t="str">
        <f>IF(Calculator!$B$1="NL",Data!K566,Data!J566)</f>
        <v>STADE COMMUNAL - INDUSTRIE_21001A472</v>
      </c>
      <c r="C566">
        <v>399</v>
      </c>
      <c r="D566">
        <v>277</v>
      </c>
      <c r="E566">
        <v>33.11339581</v>
      </c>
      <c r="F566">
        <v>0.46910755148741418</v>
      </c>
      <c r="G566">
        <f t="shared" si="24"/>
        <v>0.69423558897243109</v>
      </c>
      <c r="H566">
        <f t="shared" si="25"/>
        <v>0.48448642226099997</v>
      </c>
      <c r="I566">
        <f t="shared" si="26"/>
        <v>0.53042490505504403</v>
      </c>
      <c r="J566" t="s">
        <v>1201</v>
      </c>
      <c r="K566" t="s">
        <v>1692</v>
      </c>
    </row>
    <row r="567" spans="1:11" x14ac:dyDescent="0.3">
      <c r="A567" t="s">
        <v>543</v>
      </c>
      <c r="B567" t="str">
        <f>IF(Calculator!$B$1="NL",Data!K567,Data!J567)</f>
        <v>STEPHENSON (PLACE)_21015A45-</v>
      </c>
      <c r="C567">
        <v>518</v>
      </c>
      <c r="D567">
        <v>279</v>
      </c>
      <c r="E567">
        <v>34.969054030000002</v>
      </c>
      <c r="F567">
        <v>0.92192192192192191</v>
      </c>
      <c r="G567">
        <f t="shared" si="24"/>
        <v>0.53861003861003864</v>
      </c>
      <c r="H567">
        <f t="shared" si="25"/>
        <v>0.53663041824299995</v>
      </c>
      <c r="I567">
        <f t="shared" si="26"/>
        <v>0.5107392170051932</v>
      </c>
      <c r="J567" t="s">
        <v>1202</v>
      </c>
      <c r="K567" t="s">
        <v>1693</v>
      </c>
    </row>
    <row r="568" spans="1:11" x14ac:dyDescent="0.3">
      <c r="A568" t="s">
        <v>247</v>
      </c>
      <c r="B568" t="str">
        <f>IF(Calculator!$B$1="NL",Data!K568,Data!J568)</f>
        <v>STEURS_21014A01-</v>
      </c>
      <c r="C568">
        <v>505</v>
      </c>
      <c r="D568">
        <v>203</v>
      </c>
      <c r="E568">
        <v>34.799308660000001</v>
      </c>
      <c r="F568">
        <v>0.87254901960784315</v>
      </c>
      <c r="G568">
        <f t="shared" si="24"/>
        <v>0.401980198019802</v>
      </c>
      <c r="H568">
        <f t="shared" si="25"/>
        <v>0.53186057334600001</v>
      </c>
      <c r="I568">
        <f t="shared" si="26"/>
        <v>0.44357436639875591</v>
      </c>
      <c r="J568" t="s">
        <v>1203</v>
      </c>
      <c r="K568" t="s">
        <v>1203</v>
      </c>
    </row>
    <row r="569" spans="1:11" x14ac:dyDescent="0.3">
      <c r="A569" t="s">
        <v>227</v>
      </c>
      <c r="B569" t="str">
        <f>IF(Calculator!$B$1="NL",Data!K569,Data!J569)</f>
        <v>STEYNS_21012A511</v>
      </c>
      <c r="C569">
        <v>1210</v>
      </c>
      <c r="D569">
        <v>571</v>
      </c>
      <c r="E569">
        <v>34.723977320000003</v>
      </c>
      <c r="F569">
        <v>0.77317073170731709</v>
      </c>
      <c r="G569">
        <f t="shared" si="24"/>
        <v>0.47190082644628101</v>
      </c>
      <c r="H569">
        <f t="shared" si="25"/>
        <v>0.52974376269200008</v>
      </c>
      <c r="I569">
        <f t="shared" si="26"/>
        <v>0.45074006511222647</v>
      </c>
      <c r="J569" t="s">
        <v>1204</v>
      </c>
      <c r="K569" t="s">
        <v>1694</v>
      </c>
    </row>
    <row r="570" spans="1:11" x14ac:dyDescent="0.3">
      <c r="A570" t="s">
        <v>188</v>
      </c>
      <c r="B570" t="str">
        <f>IF(Calculator!$B$1="NL",Data!K570,Data!J570)</f>
        <v>STIENON (AVENUE)_21004E83-</v>
      </c>
      <c r="C570">
        <v>2066</v>
      </c>
      <c r="D570">
        <v>1276</v>
      </c>
      <c r="E570">
        <v>37.872019969999997</v>
      </c>
      <c r="F570">
        <v>0.95833333333333337</v>
      </c>
      <c r="G570">
        <f t="shared" si="24"/>
        <v>0.6176185866408519</v>
      </c>
      <c r="H570">
        <f t="shared" si="25"/>
        <v>0.61820376115699993</v>
      </c>
      <c r="I570">
        <f t="shared" si="26"/>
        <v>0.5870156152039796</v>
      </c>
      <c r="J570" t="s">
        <v>1205</v>
      </c>
      <c r="K570" t="s">
        <v>1695</v>
      </c>
    </row>
    <row r="571" spans="1:11" x14ac:dyDescent="0.3">
      <c r="A571" t="s">
        <v>607</v>
      </c>
      <c r="B571" t="str">
        <f>IF(Calculator!$B$1="NL",Data!K571,Data!J571)</f>
        <v>STOCKEL_21019A10-</v>
      </c>
      <c r="C571">
        <v>1301</v>
      </c>
      <c r="D571">
        <v>891</v>
      </c>
      <c r="E571">
        <v>34.695294760000003</v>
      </c>
      <c r="F571">
        <v>0.62351190476190477</v>
      </c>
      <c r="G571">
        <f t="shared" si="24"/>
        <v>0.68485780169100696</v>
      </c>
      <c r="H571">
        <f t="shared" si="25"/>
        <v>0.52893778275600001</v>
      </c>
      <c r="I571">
        <f t="shared" si="26"/>
        <v>0.54620801300115318</v>
      </c>
      <c r="J571" t="s">
        <v>1206</v>
      </c>
      <c r="K571" t="s">
        <v>1696</v>
      </c>
    </row>
    <row r="572" spans="1:11" x14ac:dyDescent="0.3">
      <c r="A572" t="s">
        <v>570</v>
      </c>
      <c r="B572" t="str">
        <f>IF(Calculator!$B$1="NL",Data!K572,Data!J572)</f>
        <v>STOCKEL (CHAUSSEE DE)_21018A12-</v>
      </c>
      <c r="C572">
        <v>776</v>
      </c>
      <c r="D572">
        <v>636</v>
      </c>
      <c r="E572">
        <v>45.314612529999998</v>
      </c>
      <c r="F572">
        <v>0.59243697478991597</v>
      </c>
      <c r="G572">
        <f t="shared" si="24"/>
        <v>0.81958762886597936</v>
      </c>
      <c r="H572">
        <f t="shared" si="25"/>
        <v>0.82734061209300003</v>
      </c>
      <c r="I572">
        <f t="shared" si="26"/>
        <v>0.74111770843154079</v>
      </c>
      <c r="J572" t="s">
        <v>1207</v>
      </c>
      <c r="K572" t="s">
        <v>1697</v>
      </c>
    </row>
    <row r="573" spans="1:11" x14ac:dyDescent="0.3">
      <c r="A573" t="s">
        <v>421</v>
      </c>
      <c r="B573" t="str">
        <f>IF(Calculator!$B$1="NL",Data!K573,Data!J573)</f>
        <v>STUART MERRIL_21007A02-</v>
      </c>
      <c r="C573">
        <v>238</v>
      </c>
      <c r="D573">
        <v>231</v>
      </c>
      <c r="E573">
        <v>46.871453729999999</v>
      </c>
      <c r="F573">
        <v>0.7142857142857143</v>
      </c>
      <c r="G573">
        <f t="shared" si="24"/>
        <v>0.97058823529411764</v>
      </c>
      <c r="H573">
        <f t="shared" si="25"/>
        <v>0.87108784981299991</v>
      </c>
      <c r="I573">
        <f t="shared" si="26"/>
        <v>0.82875423829820283</v>
      </c>
      <c r="J573" t="s">
        <v>1208</v>
      </c>
      <c r="K573" t="s">
        <v>1208</v>
      </c>
    </row>
    <row r="574" spans="1:11" x14ac:dyDescent="0.3">
      <c r="A574" t="s">
        <v>80</v>
      </c>
      <c r="B574" t="str">
        <f>IF(Calculator!$B$1="NL",Data!K574,Data!J574)</f>
        <v>TEN REUKEN_21002A14-</v>
      </c>
      <c r="C574">
        <v>158</v>
      </c>
      <c r="D574">
        <v>186</v>
      </c>
      <c r="E574">
        <v>49.7915317</v>
      </c>
      <c r="F574">
        <v>0.6992481203007519</v>
      </c>
      <c r="G574">
        <f t="shared" si="24"/>
        <v>1.1772151898734178</v>
      </c>
      <c r="H574">
        <f t="shared" si="25"/>
        <v>0.95314204076999998</v>
      </c>
      <c r="I574">
        <f t="shared" si="26"/>
        <v>0.95866075378953797</v>
      </c>
      <c r="J574" t="s">
        <v>1209</v>
      </c>
      <c r="K574" t="s">
        <v>1209</v>
      </c>
    </row>
    <row r="575" spans="1:11" x14ac:dyDescent="0.3">
      <c r="A575" t="s">
        <v>559</v>
      </c>
      <c r="B575" t="str">
        <f>IF(Calculator!$B$1="NL",Data!K575,Data!J575)</f>
        <v>TERDELT_21015A811</v>
      </c>
      <c r="C575">
        <v>451</v>
      </c>
      <c r="D575">
        <v>324</v>
      </c>
      <c r="E575">
        <v>40.004221119999997</v>
      </c>
      <c r="F575">
        <v>0.78947368421052633</v>
      </c>
      <c r="G575">
        <f t="shared" si="24"/>
        <v>0.71840354767184034</v>
      </c>
      <c r="H575">
        <f t="shared" si="25"/>
        <v>0.67811861347199986</v>
      </c>
      <c r="I575">
        <f t="shared" si="26"/>
        <v>0.62843497251472802</v>
      </c>
      <c r="J575" t="s">
        <v>1210</v>
      </c>
      <c r="K575" t="s">
        <v>1210</v>
      </c>
    </row>
    <row r="576" spans="1:11" x14ac:dyDescent="0.3">
      <c r="A576" t="s">
        <v>85</v>
      </c>
      <c r="B576" t="str">
        <f>IF(Calculator!$B$1="NL",Data!K576,Data!J576)</f>
        <v>TH. BALIS (PLACE)_21002A23-</v>
      </c>
      <c r="C576">
        <v>656</v>
      </c>
      <c r="D576">
        <v>497</v>
      </c>
      <c r="E576">
        <v>39.417784560000001</v>
      </c>
      <c r="F576">
        <v>0.93529411764705883</v>
      </c>
      <c r="G576">
        <f t="shared" si="24"/>
        <v>0.75762195121951215</v>
      </c>
      <c r="H576">
        <f t="shared" si="25"/>
        <v>0.66163974613600018</v>
      </c>
      <c r="I576">
        <f t="shared" si="26"/>
        <v>0.67414930624386837</v>
      </c>
      <c r="J576" t="s">
        <v>1211</v>
      </c>
      <c r="K576" t="s">
        <v>1698</v>
      </c>
    </row>
    <row r="577" spans="1:11" x14ac:dyDescent="0.3">
      <c r="A577" t="s">
        <v>562</v>
      </c>
      <c r="B577" t="str">
        <f>IF(Calculator!$B$1="NL",Data!K577,Data!J577)</f>
        <v>THEUNIS PIERRE (RUE)_21015A883</v>
      </c>
      <c r="C577">
        <v>257</v>
      </c>
      <c r="D577">
        <v>97</v>
      </c>
      <c r="E577">
        <v>40.223640940000003</v>
      </c>
      <c r="F577">
        <v>0.78977272727272729</v>
      </c>
      <c r="G577">
        <f t="shared" si="24"/>
        <v>0.37743190661478598</v>
      </c>
      <c r="H577">
        <f t="shared" si="25"/>
        <v>0.68428431041400017</v>
      </c>
      <c r="I577">
        <f t="shared" si="26"/>
        <v>0.47777229766295376</v>
      </c>
      <c r="J577" t="s">
        <v>1212</v>
      </c>
      <c r="K577" t="s">
        <v>1699</v>
      </c>
    </row>
    <row r="578" spans="1:11" x14ac:dyDescent="0.3">
      <c r="A578" t="s">
        <v>369</v>
      </c>
      <c r="B578" t="str">
        <f>IF(Calculator!$B$1="NL",Data!K578,Data!J578)</f>
        <v>TOISON D'OR (AVENUE)_21013A51-</v>
      </c>
      <c r="C578">
        <v>1058</v>
      </c>
      <c r="D578">
        <v>282</v>
      </c>
      <c r="E578">
        <v>25.860682149999999</v>
      </c>
      <c r="F578">
        <v>0.58018867924528306</v>
      </c>
      <c r="G578">
        <f t="shared" ref="G578:G631" si="27">D578/C578</f>
        <v>0.26654064272211719</v>
      </c>
      <c r="H578">
        <f t="shared" si="25"/>
        <v>0.28068516841499996</v>
      </c>
      <c r="I578">
        <f t="shared" si="26"/>
        <v>0.2462516150117027</v>
      </c>
      <c r="J578" t="s">
        <v>1213</v>
      </c>
      <c r="K578" t="s">
        <v>1700</v>
      </c>
    </row>
    <row r="579" spans="1:11" x14ac:dyDescent="0.3">
      <c r="A579" t="s">
        <v>563</v>
      </c>
      <c r="B579" t="str">
        <f>IF(Calculator!$B$1="NL",Data!K579,Data!J579)</f>
        <v>TOMBERG_21018A00-</v>
      </c>
      <c r="C579">
        <v>876</v>
      </c>
      <c r="D579">
        <v>564</v>
      </c>
      <c r="E579">
        <v>33.552746200000001</v>
      </c>
      <c r="F579">
        <v>0.72989690721649481</v>
      </c>
      <c r="G579">
        <f t="shared" si="27"/>
        <v>0.64383561643835618</v>
      </c>
      <c r="H579">
        <f t="shared" ref="H579:H631" si="28">0.0281*E579-0.446</f>
        <v>0.49683216822000004</v>
      </c>
      <c r="I579">
        <f t="shared" ref="I579:I631" si="29">(G579+H579)/2*IF(F579&lt;85%,0.9,IF(F579&gt;100%,1,0.95))</f>
        <v>0.5133005030962603</v>
      </c>
      <c r="J579" t="s">
        <v>1214</v>
      </c>
      <c r="K579" t="s">
        <v>1214</v>
      </c>
    </row>
    <row r="580" spans="1:11" x14ac:dyDescent="0.3">
      <c r="A580" t="s">
        <v>171</v>
      </c>
      <c r="B580" t="str">
        <f>IF(Calculator!$B$1="NL",Data!K580,Data!J580)</f>
        <v>TOUR ET TAXIS_21004D6NJ</v>
      </c>
      <c r="C580">
        <v>420</v>
      </c>
      <c r="D580">
        <v>194</v>
      </c>
      <c r="E580">
        <v>35.269671649999999</v>
      </c>
      <c r="F580">
        <v>0.49224806201550392</v>
      </c>
      <c r="G580">
        <f t="shared" si="27"/>
        <v>0.46190476190476193</v>
      </c>
      <c r="H580">
        <f t="shared" si="28"/>
        <v>0.54507777336500007</v>
      </c>
      <c r="I580">
        <f t="shared" si="29"/>
        <v>0.45314214087139298</v>
      </c>
      <c r="J580" t="s">
        <v>1215</v>
      </c>
      <c r="K580" t="s">
        <v>1701</v>
      </c>
    </row>
    <row r="581" spans="1:11" x14ac:dyDescent="0.3">
      <c r="A581" t="s">
        <v>450</v>
      </c>
      <c r="B581" t="str">
        <f>IF(Calculator!$B$1="NL",Data!K581,Data!J581)</f>
        <v>TOURNOI (RUE DU)_21007A75-</v>
      </c>
      <c r="C581">
        <v>510</v>
      </c>
      <c r="D581">
        <v>295</v>
      </c>
      <c r="E581">
        <v>38.141249870000003</v>
      </c>
      <c r="F581">
        <v>0.94444444444444442</v>
      </c>
      <c r="G581">
        <f t="shared" si="27"/>
        <v>0.57843137254901966</v>
      </c>
      <c r="H581">
        <f t="shared" si="28"/>
        <v>0.62576912134700002</v>
      </c>
      <c r="I581">
        <f t="shared" si="29"/>
        <v>0.57199523460060941</v>
      </c>
      <c r="J581" t="s">
        <v>1216</v>
      </c>
      <c r="K581" t="s">
        <v>1702</v>
      </c>
    </row>
    <row r="582" spans="1:11" x14ac:dyDescent="0.3">
      <c r="A582" t="s">
        <v>343</v>
      </c>
      <c r="B582" t="str">
        <f>IF(Calculator!$B$1="NL",Data!K582,Data!J582)</f>
        <v>TOUSSAINT_21008A31-</v>
      </c>
      <c r="C582">
        <v>207</v>
      </c>
      <c r="D582">
        <v>171</v>
      </c>
      <c r="E582">
        <v>35.990940109999997</v>
      </c>
      <c r="F582">
        <v>0.92647058823529416</v>
      </c>
      <c r="G582">
        <f t="shared" si="27"/>
        <v>0.82608695652173914</v>
      </c>
      <c r="H582">
        <f t="shared" si="28"/>
        <v>0.56534541709099995</v>
      </c>
      <c r="I582">
        <f t="shared" si="29"/>
        <v>0.66093037746605099</v>
      </c>
      <c r="J582" t="s">
        <v>1217</v>
      </c>
      <c r="K582" t="s">
        <v>1217</v>
      </c>
    </row>
    <row r="583" spans="1:11" x14ac:dyDescent="0.3">
      <c r="A583" t="s">
        <v>76</v>
      </c>
      <c r="B583" t="str">
        <f>IF(Calculator!$B$1="NL",Data!K583,Data!J583)</f>
        <v>TRANSVAAL_21002A10-</v>
      </c>
      <c r="C583">
        <v>1226</v>
      </c>
      <c r="D583">
        <v>794</v>
      </c>
      <c r="E583">
        <v>42.09066559</v>
      </c>
      <c r="F583">
        <v>0.79218472468916523</v>
      </c>
      <c r="G583">
        <f t="shared" si="27"/>
        <v>0.64763458401305052</v>
      </c>
      <c r="H583">
        <f t="shared" si="28"/>
        <v>0.73674770307899995</v>
      </c>
      <c r="I583">
        <f t="shared" si="29"/>
        <v>0.6229720291914228</v>
      </c>
      <c r="J583" t="s">
        <v>1218</v>
      </c>
      <c r="K583" t="s">
        <v>1218</v>
      </c>
    </row>
    <row r="584" spans="1:11" x14ac:dyDescent="0.3">
      <c r="A584" t="s">
        <v>33</v>
      </c>
      <c r="B584" t="str">
        <f>IF(Calculator!$B$1="NL",Data!K584,Data!J584)</f>
        <v>TREFLE_21001A552</v>
      </c>
      <c r="C584">
        <v>1403</v>
      </c>
      <c r="D584">
        <v>882</v>
      </c>
      <c r="E584">
        <v>40.636758530000002</v>
      </c>
      <c r="F584">
        <v>0.62581486310299872</v>
      </c>
      <c r="G584">
        <f t="shared" si="27"/>
        <v>0.62865288667141839</v>
      </c>
      <c r="H584">
        <f t="shared" si="28"/>
        <v>0.69589291469300019</v>
      </c>
      <c r="I584">
        <f t="shared" si="29"/>
        <v>0.59604561061398831</v>
      </c>
      <c r="J584" t="s">
        <v>1219</v>
      </c>
      <c r="K584" t="s">
        <v>1703</v>
      </c>
    </row>
    <row r="585" spans="1:11" x14ac:dyDescent="0.3">
      <c r="A585" t="s">
        <v>389</v>
      </c>
      <c r="B585" t="str">
        <f>IF(Calculator!$B$1="NL",Data!K585,Data!J585)</f>
        <v>TREILLE (RUE DE LA)_21009A311</v>
      </c>
      <c r="C585">
        <v>187</v>
      </c>
      <c r="D585">
        <v>114</v>
      </c>
      <c r="E585">
        <v>43.541270750000002</v>
      </c>
      <c r="F585">
        <v>0.86153846153846159</v>
      </c>
      <c r="G585">
        <f t="shared" si="27"/>
        <v>0.60962566844919786</v>
      </c>
      <c r="H585">
        <f t="shared" si="28"/>
        <v>0.77750970807500019</v>
      </c>
      <c r="I585">
        <f t="shared" si="29"/>
        <v>0.65888930384899402</v>
      </c>
      <c r="J585" t="s">
        <v>1220</v>
      </c>
      <c r="K585" t="s">
        <v>1704</v>
      </c>
    </row>
    <row r="586" spans="1:11" x14ac:dyDescent="0.3">
      <c r="A586" t="s">
        <v>144</v>
      </c>
      <c r="B586" t="str">
        <f>IF(Calculator!$B$1="NL",Data!K586,Data!J586)</f>
        <v>TREVES (RUE DE)_21004B13-</v>
      </c>
      <c r="C586">
        <v>474</v>
      </c>
      <c r="D586">
        <v>99</v>
      </c>
      <c r="E586">
        <v>27.826879080000001</v>
      </c>
      <c r="F586">
        <v>0.36956521739130432</v>
      </c>
      <c r="G586">
        <f t="shared" si="27"/>
        <v>0.20886075949367089</v>
      </c>
      <c r="H586">
        <f t="shared" si="28"/>
        <v>0.33593530214799999</v>
      </c>
      <c r="I586">
        <f t="shared" si="29"/>
        <v>0.24515822773875193</v>
      </c>
      <c r="J586" t="s">
        <v>1221</v>
      </c>
      <c r="K586" t="s">
        <v>1705</v>
      </c>
    </row>
    <row r="587" spans="1:11" x14ac:dyDescent="0.3">
      <c r="A587" t="s">
        <v>88</v>
      </c>
      <c r="B587" t="str">
        <f>IF(Calculator!$B$1="NL",Data!K587,Data!J587)</f>
        <v>TRIOMPHE (BOULEVARD DU)_21002A30-</v>
      </c>
      <c r="C587">
        <v>643</v>
      </c>
      <c r="D587">
        <v>306</v>
      </c>
      <c r="E587">
        <v>35.519517780000001</v>
      </c>
      <c r="F587">
        <v>0.82867132867132864</v>
      </c>
      <c r="G587">
        <f t="shared" si="27"/>
        <v>0.47589424572317263</v>
      </c>
      <c r="H587">
        <f t="shared" si="28"/>
        <v>0.55209844961799992</v>
      </c>
      <c r="I587">
        <f t="shared" si="29"/>
        <v>0.46259671290352761</v>
      </c>
      <c r="J587" t="s">
        <v>1222</v>
      </c>
      <c r="K587" t="s">
        <v>1706</v>
      </c>
    </row>
    <row r="588" spans="1:11" x14ac:dyDescent="0.3">
      <c r="A588" t="s">
        <v>160</v>
      </c>
      <c r="B588" t="str">
        <f>IF(Calculator!$B$1="NL",Data!K588,Data!J588)</f>
        <v>U.L.B._21004C61-</v>
      </c>
      <c r="C588">
        <v>594</v>
      </c>
      <c r="D588">
        <v>256</v>
      </c>
      <c r="E588">
        <v>36.263339879999997</v>
      </c>
      <c r="F588">
        <v>0.58606557377049184</v>
      </c>
      <c r="G588">
        <f t="shared" si="27"/>
        <v>0.43097643097643096</v>
      </c>
      <c r="H588">
        <f t="shared" si="28"/>
        <v>0.57299985062799985</v>
      </c>
      <c r="I588">
        <f t="shared" si="29"/>
        <v>0.4517893267219939</v>
      </c>
      <c r="J588" t="s">
        <v>1223</v>
      </c>
      <c r="K588" t="s">
        <v>1707</v>
      </c>
    </row>
    <row r="589" spans="1:11" x14ac:dyDescent="0.3">
      <c r="A589" t="s">
        <v>236</v>
      </c>
      <c r="B589" t="str">
        <f>IF(Calculator!$B$1="NL",Data!K589,Data!J589)</f>
        <v>ULENS_21012A672</v>
      </c>
      <c r="C589">
        <v>922</v>
      </c>
      <c r="D589">
        <v>480</v>
      </c>
      <c r="E589">
        <v>33.829208379999997</v>
      </c>
      <c r="F589">
        <v>0.70382165605095537</v>
      </c>
      <c r="G589">
        <f t="shared" si="27"/>
        <v>0.52060737527114964</v>
      </c>
      <c r="H589">
        <f t="shared" si="28"/>
        <v>0.50460075547799987</v>
      </c>
      <c r="I589">
        <f t="shared" si="29"/>
        <v>0.46134365883711725</v>
      </c>
      <c r="J589" t="s">
        <v>1224</v>
      </c>
      <c r="K589" t="s">
        <v>1224</v>
      </c>
    </row>
    <row r="590" spans="1:11" x14ac:dyDescent="0.3">
      <c r="A590" t="s">
        <v>385</v>
      </c>
      <c r="B590" t="str">
        <f>IF(Calculator!$B$1="NL",Data!K590,Data!J590)</f>
        <v>UNIVERSITE_21009A22-</v>
      </c>
      <c r="C590">
        <v>2365</v>
      </c>
      <c r="D590">
        <v>1106</v>
      </c>
      <c r="E590">
        <v>37.253075500000001</v>
      </c>
      <c r="F590">
        <v>0.81441717791411039</v>
      </c>
      <c r="G590">
        <f t="shared" si="27"/>
        <v>0.46765327695560255</v>
      </c>
      <c r="H590">
        <f t="shared" si="28"/>
        <v>0.60081142155</v>
      </c>
      <c r="I590">
        <f t="shared" si="29"/>
        <v>0.48080911432752116</v>
      </c>
      <c r="J590" t="s">
        <v>1225</v>
      </c>
      <c r="K590" t="s">
        <v>1708</v>
      </c>
    </row>
    <row r="591" spans="1:11" x14ac:dyDescent="0.3">
      <c r="A591" t="s">
        <v>611</v>
      </c>
      <c r="B591" t="str">
        <f>IF(Calculator!$B$1="NL",Data!K591,Data!J591)</f>
        <v>VAL DE SEIGNEURS_21019A14-</v>
      </c>
      <c r="C591">
        <v>830</v>
      </c>
      <c r="D591">
        <v>655</v>
      </c>
      <c r="E591">
        <v>46.079840650000001</v>
      </c>
      <c r="F591">
        <v>0.68552036199095023</v>
      </c>
      <c r="G591">
        <f t="shared" si="27"/>
        <v>0.78915662650602414</v>
      </c>
      <c r="H591">
        <f t="shared" si="28"/>
        <v>0.84884352226500015</v>
      </c>
      <c r="I591">
        <f t="shared" si="29"/>
        <v>0.73710006694696095</v>
      </c>
      <c r="J591" t="s">
        <v>1226</v>
      </c>
      <c r="K591" t="s">
        <v>1709</v>
      </c>
    </row>
    <row r="592" spans="1:11" x14ac:dyDescent="0.3">
      <c r="A592" t="s">
        <v>94</v>
      </c>
      <c r="B592" t="str">
        <f>IF(Calculator!$B$1="NL",Data!K592,Data!J592)</f>
        <v>VAL DUC_21002A45-</v>
      </c>
      <c r="C592">
        <v>358</v>
      </c>
      <c r="D592">
        <v>318</v>
      </c>
      <c r="E592">
        <v>41.920293370000003</v>
      </c>
      <c r="F592">
        <v>0.80073800738007384</v>
      </c>
      <c r="G592">
        <f t="shared" si="27"/>
        <v>0.88826815642458101</v>
      </c>
      <c r="H592">
        <f t="shared" si="28"/>
        <v>0.73196024369700008</v>
      </c>
      <c r="I592">
        <f t="shared" si="29"/>
        <v>0.72910278005471152</v>
      </c>
      <c r="J592" t="s">
        <v>1227</v>
      </c>
      <c r="K592" t="s">
        <v>1710</v>
      </c>
    </row>
    <row r="593" spans="1:11" x14ac:dyDescent="0.3">
      <c r="A593" t="s">
        <v>196</v>
      </c>
      <c r="B593" t="str">
        <f>IF(Calculator!$B$1="NL",Data!K593,Data!J593)</f>
        <v>VAL MARIA_21004F94-</v>
      </c>
      <c r="C593">
        <v>243</v>
      </c>
      <c r="D593">
        <v>199</v>
      </c>
      <c r="E593">
        <v>50.58775953</v>
      </c>
      <c r="F593">
        <v>0.4910941475826972</v>
      </c>
      <c r="G593">
        <f t="shared" si="27"/>
        <v>0.81893004115226342</v>
      </c>
      <c r="H593">
        <f t="shared" si="28"/>
        <v>0.97551604279300008</v>
      </c>
      <c r="I593">
        <f t="shared" si="29"/>
        <v>0.80750073777536857</v>
      </c>
      <c r="J593" t="s">
        <v>1228</v>
      </c>
      <c r="K593" t="s">
        <v>1711</v>
      </c>
    </row>
    <row r="594" spans="1:11" x14ac:dyDescent="0.3">
      <c r="A594" t="s">
        <v>25</v>
      </c>
      <c r="B594" t="str">
        <f>IF(Calculator!$B$1="NL",Data!K594,Data!J594)</f>
        <v>VAN BEETHOVEN_21001A43-</v>
      </c>
      <c r="C594">
        <v>643</v>
      </c>
      <c r="D594">
        <v>375</v>
      </c>
      <c r="E594">
        <v>33.02455226</v>
      </c>
      <c r="F594">
        <v>0.71346704871060174</v>
      </c>
      <c r="G594">
        <f t="shared" si="27"/>
        <v>0.58320373250388802</v>
      </c>
      <c r="H594">
        <f t="shared" si="28"/>
        <v>0.48198991850599998</v>
      </c>
      <c r="I594">
        <f t="shared" si="29"/>
        <v>0.47933714295444962</v>
      </c>
      <c r="J594" t="s">
        <v>1229</v>
      </c>
      <c r="K594" t="s">
        <v>1229</v>
      </c>
    </row>
    <row r="595" spans="1:11" x14ac:dyDescent="0.3">
      <c r="A595" t="s">
        <v>345</v>
      </c>
      <c r="B595" t="str">
        <f>IF(Calculator!$B$1="NL",Data!K595,Data!J595)</f>
        <v>VAN PAGE-NORD_21008A33-</v>
      </c>
      <c r="C595">
        <v>525</v>
      </c>
      <c r="D595">
        <v>376</v>
      </c>
      <c r="E595">
        <v>39.583591519999999</v>
      </c>
      <c r="F595">
        <v>0.94298245614035092</v>
      </c>
      <c r="G595">
        <f t="shared" si="27"/>
        <v>0.71619047619047616</v>
      </c>
      <c r="H595">
        <f t="shared" si="28"/>
        <v>0.66629892171200011</v>
      </c>
      <c r="I595">
        <f t="shared" si="29"/>
        <v>0.65668246400367625</v>
      </c>
      <c r="J595" t="s">
        <v>1230</v>
      </c>
      <c r="K595" t="s">
        <v>1712</v>
      </c>
    </row>
    <row r="596" spans="1:11" x14ac:dyDescent="0.3">
      <c r="A596" t="s">
        <v>334</v>
      </c>
      <c r="B596" t="str">
        <f>IF(Calculator!$B$1="NL",Data!K596,Data!J596)</f>
        <v>VAN PAGE-SUD_21008A01-</v>
      </c>
      <c r="C596">
        <v>284</v>
      </c>
      <c r="D596">
        <v>218</v>
      </c>
      <c r="E596">
        <v>35.761658820000001</v>
      </c>
      <c r="F596">
        <v>0.82802547770700641</v>
      </c>
      <c r="G596">
        <f t="shared" si="27"/>
        <v>0.76760563380281688</v>
      </c>
      <c r="H596">
        <f t="shared" si="28"/>
        <v>0.55890261284200005</v>
      </c>
      <c r="I596">
        <f t="shared" si="29"/>
        <v>0.59692871099016764</v>
      </c>
      <c r="J596" t="s">
        <v>1231</v>
      </c>
      <c r="K596" t="s">
        <v>1713</v>
      </c>
    </row>
    <row r="597" spans="1:11" x14ac:dyDescent="0.3">
      <c r="A597" t="s">
        <v>440</v>
      </c>
      <c r="B597" t="str">
        <f>IF(Calculator!$B$1="NL",Data!K597,Data!J597)</f>
        <v>VAN VOLXEM - PETITE INDUSTRIE_21007A52-</v>
      </c>
      <c r="C597">
        <v>470</v>
      </c>
      <c r="D597">
        <v>248</v>
      </c>
      <c r="E597">
        <v>31.599878790000002</v>
      </c>
      <c r="F597">
        <v>0.8</v>
      </c>
      <c r="G597">
        <f t="shared" si="27"/>
        <v>0.52765957446808509</v>
      </c>
      <c r="H597">
        <f t="shared" si="28"/>
        <v>0.44195659399900006</v>
      </c>
      <c r="I597">
        <f t="shared" si="29"/>
        <v>0.43632727581018838</v>
      </c>
      <c r="J597" t="s">
        <v>1232</v>
      </c>
      <c r="K597" t="s">
        <v>1714</v>
      </c>
    </row>
    <row r="598" spans="1:11" x14ac:dyDescent="0.3">
      <c r="A598" t="s">
        <v>514</v>
      </c>
      <c r="B598" t="str">
        <f>IF(Calculator!$B$1="NL",Data!K598,Data!J598)</f>
        <v>VAN YSENDYCK (RUE)_21015A01-</v>
      </c>
      <c r="C598">
        <v>497</v>
      </c>
      <c r="D598">
        <v>294</v>
      </c>
      <c r="E598">
        <v>33.93224618</v>
      </c>
      <c r="F598">
        <v>0.87878787878787878</v>
      </c>
      <c r="G598">
        <f t="shared" si="27"/>
        <v>0.59154929577464788</v>
      </c>
      <c r="H598">
        <f t="shared" si="28"/>
        <v>0.50749611765799996</v>
      </c>
      <c r="I598">
        <f t="shared" si="29"/>
        <v>0.5220465713805077</v>
      </c>
      <c r="J598" t="s">
        <v>1233</v>
      </c>
      <c r="K598" t="s">
        <v>1715</v>
      </c>
    </row>
    <row r="599" spans="1:11" x14ac:dyDescent="0.3">
      <c r="A599" t="s">
        <v>319</v>
      </c>
      <c r="B599" t="str">
        <f>IF(Calculator!$B$1="NL",Data!K599,Data!J599)</f>
        <v>VANDER ELST - BIEN FAIRE_21017A512</v>
      </c>
      <c r="C599">
        <v>471</v>
      </c>
      <c r="D599">
        <v>407</v>
      </c>
      <c r="E599">
        <v>43.829170570000002</v>
      </c>
      <c r="F599">
        <v>0.83841463414634143</v>
      </c>
      <c r="G599">
        <f t="shared" si="27"/>
        <v>0.86411889596602975</v>
      </c>
      <c r="H599">
        <f t="shared" si="28"/>
        <v>0.78559969301700017</v>
      </c>
      <c r="I599">
        <f t="shared" si="29"/>
        <v>0.74237336504236351</v>
      </c>
      <c r="J599" t="s">
        <v>1234</v>
      </c>
      <c r="K599" t="s">
        <v>1716</v>
      </c>
    </row>
    <row r="600" spans="1:11" x14ac:dyDescent="0.3">
      <c r="A600" t="s">
        <v>291</v>
      </c>
      <c r="B600" t="str">
        <f>IF(Calculator!$B$1="NL",Data!K600,Data!J600)</f>
        <v>VANDERKINDERE_21016A80-</v>
      </c>
      <c r="C600">
        <v>1426</v>
      </c>
      <c r="D600">
        <v>995</v>
      </c>
      <c r="E600">
        <v>36.273613949999998</v>
      </c>
      <c r="F600">
        <v>0.84219269102990035</v>
      </c>
      <c r="G600">
        <f t="shared" si="27"/>
        <v>0.69775596072931279</v>
      </c>
      <c r="H600">
        <f t="shared" si="28"/>
        <v>0.57328855199499995</v>
      </c>
      <c r="I600">
        <f t="shared" si="29"/>
        <v>0.57197003072594066</v>
      </c>
      <c r="J600" t="s">
        <v>1235</v>
      </c>
      <c r="K600" t="s">
        <v>1235</v>
      </c>
    </row>
    <row r="601" spans="1:11" x14ac:dyDescent="0.3">
      <c r="A601" t="s">
        <v>539</v>
      </c>
      <c r="B601" t="str">
        <f>IF(Calculator!$B$1="NL",Data!K601,Data!J601)</f>
        <v>VANDERLINDEN (RUE)_21015A41-</v>
      </c>
      <c r="C601">
        <v>1290</v>
      </c>
      <c r="D601">
        <v>568</v>
      </c>
      <c r="E601">
        <v>34.396059289999997</v>
      </c>
      <c r="F601">
        <v>0.8626692456479691</v>
      </c>
      <c r="G601">
        <f t="shared" si="27"/>
        <v>0.44031007751937984</v>
      </c>
      <c r="H601">
        <f t="shared" si="28"/>
        <v>0.52052926604899996</v>
      </c>
      <c r="I601">
        <f t="shared" si="29"/>
        <v>0.45639868819498036</v>
      </c>
      <c r="J601" t="s">
        <v>1236</v>
      </c>
      <c r="K601" t="s">
        <v>1717</v>
      </c>
    </row>
    <row r="602" spans="1:11" x14ac:dyDescent="0.3">
      <c r="A602" t="s">
        <v>325</v>
      </c>
      <c r="B602" t="str">
        <f>IF(Calculator!$B$1="NL",Data!K602,Data!J602)</f>
        <v>VANHUFFEL_21011A00-</v>
      </c>
      <c r="C602">
        <v>826</v>
      </c>
      <c r="D602">
        <v>378</v>
      </c>
      <c r="E602">
        <v>27.208140610000001</v>
      </c>
      <c r="F602">
        <v>0.84424379232505642</v>
      </c>
      <c r="G602">
        <f t="shared" si="27"/>
        <v>0.4576271186440678</v>
      </c>
      <c r="H602">
        <f t="shared" si="28"/>
        <v>0.31854875114100006</v>
      </c>
      <c r="I602">
        <f t="shared" si="29"/>
        <v>0.34927914140328054</v>
      </c>
      <c r="J602" t="s">
        <v>1237</v>
      </c>
      <c r="K602" t="s">
        <v>1237</v>
      </c>
    </row>
    <row r="603" spans="1:11" x14ac:dyDescent="0.3">
      <c r="A603" t="s">
        <v>14</v>
      </c>
      <c r="B603" t="str">
        <f>IF(Calculator!$B$1="NL",Data!K603,Data!J603)</f>
        <v>VEEWEYDE-NORD_21001A142</v>
      </c>
      <c r="C603">
        <v>579</v>
      </c>
      <c r="D603">
        <v>299</v>
      </c>
      <c r="E603">
        <v>31.810079510000001</v>
      </c>
      <c r="F603">
        <v>0.8839285714285714</v>
      </c>
      <c r="G603">
        <f t="shared" si="27"/>
        <v>0.5164075993091537</v>
      </c>
      <c r="H603">
        <f t="shared" si="28"/>
        <v>0.447863234231</v>
      </c>
      <c r="I603">
        <f t="shared" si="29"/>
        <v>0.458028645931573</v>
      </c>
      <c r="J603" t="s">
        <v>1238</v>
      </c>
      <c r="K603" t="s">
        <v>1718</v>
      </c>
    </row>
    <row r="604" spans="1:11" x14ac:dyDescent="0.3">
      <c r="A604" t="s">
        <v>7</v>
      </c>
      <c r="B604" t="str">
        <f>IF(Calculator!$B$1="NL",Data!K604,Data!J604)</f>
        <v>VEEWEYDE-SUD_21001A041</v>
      </c>
      <c r="C604">
        <v>1187</v>
      </c>
      <c r="D604">
        <v>630</v>
      </c>
      <c r="E604">
        <v>27.982877349999999</v>
      </c>
      <c r="F604">
        <v>0.84337349397590367</v>
      </c>
      <c r="G604">
        <f t="shared" si="27"/>
        <v>0.53074978938500417</v>
      </c>
      <c r="H604">
        <f t="shared" si="28"/>
        <v>0.34031885353499997</v>
      </c>
      <c r="I604">
        <f t="shared" si="29"/>
        <v>0.39198088931400182</v>
      </c>
      <c r="J604" t="s">
        <v>1239</v>
      </c>
      <c r="K604" t="s">
        <v>1719</v>
      </c>
    </row>
    <row r="605" spans="1:11" x14ac:dyDescent="0.3">
      <c r="A605" t="s">
        <v>617</v>
      </c>
      <c r="B605" t="str">
        <f>IF(Calculator!$B$1="NL",Data!K605,Data!J605)</f>
        <v>VENELLES_21019A242</v>
      </c>
      <c r="C605">
        <v>581</v>
      </c>
      <c r="D605">
        <v>463</v>
      </c>
      <c r="E605">
        <v>51.479304059999997</v>
      </c>
      <c r="F605">
        <v>0.67549668874172186</v>
      </c>
      <c r="G605">
        <f t="shared" si="27"/>
        <v>0.79690189328743544</v>
      </c>
      <c r="H605">
        <f t="shared" si="28"/>
        <v>1.0005684440859999</v>
      </c>
      <c r="I605">
        <f t="shared" si="29"/>
        <v>0.80886165181804592</v>
      </c>
      <c r="J605" t="s">
        <v>1240</v>
      </c>
      <c r="K605" t="s">
        <v>1720</v>
      </c>
    </row>
    <row r="606" spans="1:11" x14ac:dyDescent="0.3">
      <c r="A606" t="s">
        <v>27</v>
      </c>
      <c r="B606" t="str">
        <f>IF(Calculator!$B$1="NL",Data!K606,Data!J606)</f>
        <v>VENIZELOS_21001A451</v>
      </c>
      <c r="C606">
        <v>659</v>
      </c>
      <c r="D606">
        <v>426</v>
      </c>
      <c r="E606">
        <v>37.333348639999997</v>
      </c>
      <c r="F606">
        <v>0.86643835616438358</v>
      </c>
      <c r="G606">
        <f t="shared" si="27"/>
        <v>0.64643399089529585</v>
      </c>
      <c r="H606">
        <f t="shared" si="28"/>
        <v>0.60306709678399995</v>
      </c>
      <c r="I606">
        <f t="shared" si="29"/>
        <v>0.59351301664766543</v>
      </c>
      <c r="J606" t="s">
        <v>1241</v>
      </c>
      <c r="K606" t="s">
        <v>1241</v>
      </c>
    </row>
    <row r="607" spans="1:11" x14ac:dyDescent="0.3">
      <c r="A607" t="s">
        <v>278</v>
      </c>
      <c r="B607" t="str">
        <f>IF(Calculator!$B$1="NL",Data!K607,Data!J607)</f>
        <v>VERREWINKEL_21016A521</v>
      </c>
      <c r="C607">
        <v>169</v>
      </c>
      <c r="D607">
        <v>240</v>
      </c>
      <c r="E607">
        <v>58.795443880000001</v>
      </c>
      <c r="F607">
        <v>0.41095890410958902</v>
      </c>
      <c r="G607">
        <f t="shared" si="27"/>
        <v>1.4201183431952662</v>
      </c>
      <c r="H607">
        <f t="shared" si="28"/>
        <v>1.2061519730280001</v>
      </c>
      <c r="I607">
        <f t="shared" si="29"/>
        <v>1.1818216423004697</v>
      </c>
      <c r="J607" t="s">
        <v>1242</v>
      </c>
      <c r="K607" t="s">
        <v>1242</v>
      </c>
    </row>
    <row r="608" spans="1:11" x14ac:dyDescent="0.3">
      <c r="A608" t="s">
        <v>264</v>
      </c>
      <c r="B608" t="str">
        <f>IF(Calculator!$B$1="NL",Data!K608,Data!J608)</f>
        <v>VERT CHASSEUR_21016A111</v>
      </c>
      <c r="C608">
        <v>395</v>
      </c>
      <c r="D608">
        <v>477</v>
      </c>
      <c r="E608">
        <v>45.772715130000002</v>
      </c>
      <c r="F608">
        <v>0.45307443365695788</v>
      </c>
      <c r="G608">
        <f t="shared" si="27"/>
        <v>1.2075949367088608</v>
      </c>
      <c r="H608">
        <f t="shared" si="28"/>
        <v>0.84021329515300014</v>
      </c>
      <c r="I608">
        <f t="shared" si="29"/>
        <v>0.92151370433783752</v>
      </c>
      <c r="J608" t="s">
        <v>1243</v>
      </c>
      <c r="K608" t="s">
        <v>1721</v>
      </c>
    </row>
    <row r="609" spans="1:11" x14ac:dyDescent="0.3">
      <c r="A609" t="s">
        <v>587</v>
      </c>
      <c r="B609" t="str">
        <f>IF(Calculator!$B$1="NL",Data!K609,Data!J609)</f>
        <v>VERVLOESEM_21018A42-</v>
      </c>
      <c r="C609">
        <v>667</v>
      </c>
      <c r="D609">
        <v>470</v>
      </c>
      <c r="E609">
        <v>36.541329169999997</v>
      </c>
      <c r="F609">
        <v>0.84713375796178347</v>
      </c>
      <c r="G609">
        <f t="shared" si="27"/>
        <v>0.70464767616191903</v>
      </c>
      <c r="H609">
        <f t="shared" si="28"/>
        <v>0.58081134967699999</v>
      </c>
      <c r="I609">
        <f t="shared" si="29"/>
        <v>0.57845656162751358</v>
      </c>
      <c r="J609" t="s">
        <v>1244</v>
      </c>
      <c r="K609" t="s">
        <v>1244</v>
      </c>
    </row>
    <row r="610" spans="1:11" x14ac:dyDescent="0.3">
      <c r="A610" t="s">
        <v>453</v>
      </c>
      <c r="B610" t="str">
        <f>IF(Calculator!$B$1="NL",Data!K610,Data!J610)</f>
        <v>VIEIL EVERE_21006A001</v>
      </c>
      <c r="C610">
        <v>1439</v>
      </c>
      <c r="D610">
        <v>904</v>
      </c>
      <c r="E610">
        <v>35.929914770000003</v>
      </c>
      <c r="F610">
        <v>1.0018587360594799</v>
      </c>
      <c r="G610">
        <f t="shared" si="27"/>
        <v>0.62821403752605975</v>
      </c>
      <c r="H610">
        <f t="shared" si="28"/>
        <v>0.56363060503700013</v>
      </c>
      <c r="I610">
        <f t="shared" si="29"/>
        <v>0.59592232128152989</v>
      </c>
      <c r="J610" t="s">
        <v>1245</v>
      </c>
      <c r="K610" t="s">
        <v>1722</v>
      </c>
    </row>
    <row r="611" spans="1:11" x14ac:dyDescent="0.3">
      <c r="A611" t="s">
        <v>117</v>
      </c>
      <c r="B611" t="str">
        <f>IF(Calculator!$B$1="NL",Data!K611,Data!J611)</f>
        <v>VIEILLE HALLE AUX BLES_21004A01-</v>
      </c>
      <c r="C611">
        <v>646</v>
      </c>
      <c r="D611">
        <v>168</v>
      </c>
      <c r="E611">
        <v>32.933112149999999</v>
      </c>
      <c r="F611">
        <v>0.32484076433121017</v>
      </c>
      <c r="G611">
        <f t="shared" si="27"/>
        <v>0.26006191950464397</v>
      </c>
      <c r="H611">
        <f t="shared" si="28"/>
        <v>0.47942045141499995</v>
      </c>
      <c r="I611">
        <f t="shared" si="29"/>
        <v>0.33276706691383973</v>
      </c>
      <c r="J611" t="s">
        <v>1246</v>
      </c>
      <c r="K611" t="s">
        <v>1723</v>
      </c>
    </row>
    <row r="612" spans="1:11" x14ac:dyDescent="0.3">
      <c r="A612" t="s">
        <v>75</v>
      </c>
      <c r="B612" t="str">
        <f>IF(Calculator!$B$1="NL",Data!K612,Data!J612)</f>
        <v>VIGNETTE_21002A041</v>
      </c>
      <c r="C612">
        <v>280</v>
      </c>
      <c r="D612">
        <v>215</v>
      </c>
      <c r="E612">
        <v>35.832980910000003</v>
      </c>
      <c r="F612">
        <v>0.82038834951456308</v>
      </c>
      <c r="G612">
        <f t="shared" si="27"/>
        <v>0.7678571428571429</v>
      </c>
      <c r="H612">
        <f t="shared" si="28"/>
        <v>0.56090676357100011</v>
      </c>
      <c r="I612">
        <f t="shared" si="29"/>
        <v>0.59794375789266441</v>
      </c>
      <c r="J612" t="s">
        <v>1247</v>
      </c>
      <c r="K612" t="s">
        <v>1724</v>
      </c>
    </row>
    <row r="613" spans="1:11" x14ac:dyDescent="0.3">
      <c r="A613" t="s">
        <v>452</v>
      </c>
      <c r="B613" t="str">
        <f>IF(Calculator!$B$1="NL",Data!K613,Data!J613)</f>
        <v>VILLAS - MONT KEMMEL_21007A814</v>
      </c>
      <c r="C613">
        <v>88</v>
      </c>
      <c r="D613">
        <v>36</v>
      </c>
      <c r="E613">
        <v>29.323915370000002</v>
      </c>
      <c r="F613">
        <v>0.83333333333333337</v>
      </c>
      <c r="G613">
        <f t="shared" si="27"/>
        <v>0.40909090909090912</v>
      </c>
      <c r="H613">
        <f t="shared" si="28"/>
        <v>0.378002021897</v>
      </c>
      <c r="I613">
        <f t="shared" si="29"/>
        <v>0.35419181894455909</v>
      </c>
      <c r="J613" t="s">
        <v>1248</v>
      </c>
      <c r="K613" t="s">
        <v>1725</v>
      </c>
    </row>
    <row r="614" spans="1:11" x14ac:dyDescent="0.3">
      <c r="A614" t="s">
        <v>367</v>
      </c>
      <c r="B614" t="str">
        <f>IF(Calculator!$B$1="NL",Data!K614,Data!J614)</f>
        <v>VILLAS (AVENUE DES)_21013A41-</v>
      </c>
      <c r="C614">
        <v>1353</v>
      </c>
      <c r="D614">
        <v>456</v>
      </c>
      <c r="E614">
        <v>33.502887219999998</v>
      </c>
      <c r="F614">
        <v>0.84068627450980393</v>
      </c>
      <c r="G614">
        <f t="shared" si="27"/>
        <v>0.33702882483370289</v>
      </c>
      <c r="H614">
        <f t="shared" si="28"/>
        <v>0.49543113088199991</v>
      </c>
      <c r="I614">
        <f t="shared" si="29"/>
        <v>0.37460698007206628</v>
      </c>
      <c r="J614" t="s">
        <v>1249</v>
      </c>
      <c r="K614" t="s">
        <v>1726</v>
      </c>
    </row>
    <row r="615" spans="1:11" x14ac:dyDescent="0.3">
      <c r="A615" t="s">
        <v>339</v>
      </c>
      <c r="B615" t="str">
        <f>IF(Calculator!$B$1="NL",Data!K615,Data!J615)</f>
        <v>VILLAS DE GANSHOREN (OUEST)_21008A220</v>
      </c>
      <c r="C615">
        <v>1500</v>
      </c>
      <c r="D615">
        <v>703</v>
      </c>
      <c r="E615">
        <v>38.120183269999998</v>
      </c>
      <c r="F615">
        <v>0.57780458383594691</v>
      </c>
      <c r="G615">
        <f t="shared" si="27"/>
        <v>0.46866666666666668</v>
      </c>
      <c r="H615">
        <f t="shared" si="28"/>
        <v>0.62517714988700002</v>
      </c>
      <c r="I615">
        <f t="shared" si="29"/>
        <v>0.49222971744914995</v>
      </c>
      <c r="J615" t="s">
        <v>1250</v>
      </c>
      <c r="K615" t="s">
        <v>1727</v>
      </c>
    </row>
    <row r="616" spans="1:11" x14ac:dyDescent="0.3">
      <c r="A616" t="s">
        <v>316</v>
      </c>
      <c r="B616" t="str">
        <f>IF(Calculator!$B$1="NL",Data!K616,Data!J616)</f>
        <v>VILLE-ET-FORET - ELAN_21017A443</v>
      </c>
      <c r="C616">
        <v>311</v>
      </c>
      <c r="D616">
        <v>127</v>
      </c>
      <c r="E616">
        <v>42.16935075</v>
      </c>
      <c r="F616">
        <v>0.72857142857142854</v>
      </c>
      <c r="G616">
        <f t="shared" si="27"/>
        <v>0.40836012861736337</v>
      </c>
      <c r="H616">
        <f t="shared" si="28"/>
        <v>0.73895875607499995</v>
      </c>
      <c r="I616">
        <f t="shared" si="29"/>
        <v>0.51629349811156344</v>
      </c>
      <c r="J616" t="s">
        <v>1251</v>
      </c>
      <c r="K616" t="s">
        <v>1728</v>
      </c>
    </row>
    <row r="617" spans="1:11" x14ac:dyDescent="0.3">
      <c r="A617" t="s">
        <v>29</v>
      </c>
      <c r="B617" t="str">
        <f>IF(Calculator!$B$1="NL",Data!K617,Data!J617)</f>
        <v>VIVES_21001A503</v>
      </c>
      <c r="C617">
        <v>885</v>
      </c>
      <c r="D617">
        <v>499</v>
      </c>
      <c r="E617">
        <v>38.71778166</v>
      </c>
      <c r="F617">
        <v>0.86330935251798557</v>
      </c>
      <c r="G617">
        <f t="shared" si="27"/>
        <v>0.56384180790960448</v>
      </c>
      <c r="H617">
        <f t="shared" si="28"/>
        <v>0.64196966464600003</v>
      </c>
      <c r="I617">
        <f t="shared" si="29"/>
        <v>0.57276044946391214</v>
      </c>
      <c r="J617" t="s">
        <v>645</v>
      </c>
      <c r="K617" t="s">
        <v>645</v>
      </c>
    </row>
    <row r="618" spans="1:11" x14ac:dyDescent="0.3">
      <c r="A618" t="s">
        <v>164</v>
      </c>
      <c r="B618" t="str">
        <f>IF(Calculator!$B$1="NL",Data!K618,Data!J618)</f>
        <v>VIVIER D'OIE_21004C65-</v>
      </c>
      <c r="C618">
        <v>164</v>
      </c>
      <c r="D618">
        <v>186</v>
      </c>
      <c r="E618">
        <v>41.724637979999997</v>
      </c>
      <c r="F618">
        <v>0.81818181818181823</v>
      </c>
      <c r="G618">
        <f t="shared" si="27"/>
        <v>1.1341463414634145</v>
      </c>
      <c r="H618">
        <f t="shared" si="28"/>
        <v>0.72646232723799997</v>
      </c>
      <c r="I618">
        <f t="shared" si="29"/>
        <v>0.83727390091563658</v>
      </c>
      <c r="J618" t="s">
        <v>1252</v>
      </c>
      <c r="K618" t="s">
        <v>1729</v>
      </c>
    </row>
    <row r="619" spans="1:11" x14ac:dyDescent="0.3">
      <c r="A619" t="s">
        <v>302</v>
      </c>
      <c r="B619" t="str">
        <f>IF(Calculator!$B$1="NL",Data!K619,Data!J619)</f>
        <v>VOSSEGAT-EST_21016A954</v>
      </c>
      <c r="C619">
        <v>191</v>
      </c>
      <c r="D619">
        <v>110</v>
      </c>
      <c r="E619">
        <v>44.826723600000001</v>
      </c>
      <c r="F619">
        <v>0.81818181818181823</v>
      </c>
      <c r="G619">
        <f t="shared" si="27"/>
        <v>0.5759162303664922</v>
      </c>
      <c r="H619">
        <f t="shared" si="28"/>
        <v>0.81363093316000001</v>
      </c>
      <c r="I619">
        <f t="shared" si="29"/>
        <v>0.6252962235869215</v>
      </c>
      <c r="J619" t="s">
        <v>1253</v>
      </c>
      <c r="K619" t="s">
        <v>1730</v>
      </c>
    </row>
    <row r="620" spans="1:11" x14ac:dyDescent="0.3">
      <c r="A620" t="s">
        <v>300</v>
      </c>
      <c r="B620" t="str">
        <f>IF(Calculator!$B$1="NL",Data!K620,Data!J620)</f>
        <v>VOSSEGAT-OUEST_21016A933</v>
      </c>
      <c r="C620">
        <v>1470</v>
      </c>
      <c r="D620">
        <v>1094</v>
      </c>
      <c r="E620">
        <v>46.093947710000002</v>
      </c>
      <c r="F620">
        <v>0.60254372019077906</v>
      </c>
      <c r="G620">
        <f t="shared" si="27"/>
        <v>0.74421768707482994</v>
      </c>
      <c r="H620">
        <f t="shared" si="28"/>
        <v>0.84923993065100012</v>
      </c>
      <c r="I620">
        <f t="shared" si="29"/>
        <v>0.71705592797662354</v>
      </c>
      <c r="J620" t="s">
        <v>1254</v>
      </c>
      <c r="K620" t="s">
        <v>1731</v>
      </c>
    </row>
    <row r="621" spans="1:11" x14ac:dyDescent="0.3">
      <c r="A621" t="s">
        <v>529</v>
      </c>
      <c r="B621" t="str">
        <f>IF(Calculator!$B$1="NL",Data!K621,Data!J621)</f>
        <v>WAELHEM (RUE)_21015A24-</v>
      </c>
      <c r="C621">
        <v>1027</v>
      </c>
      <c r="D621">
        <v>562</v>
      </c>
      <c r="E621">
        <v>32.284291940000003</v>
      </c>
      <c r="F621">
        <v>0.92346938775510201</v>
      </c>
      <c r="G621">
        <f t="shared" si="27"/>
        <v>0.54722492697176239</v>
      </c>
      <c r="H621">
        <f t="shared" si="28"/>
        <v>0.4611886035140001</v>
      </c>
      <c r="I621">
        <f t="shared" si="29"/>
        <v>0.47899642698073713</v>
      </c>
      <c r="J621" t="s">
        <v>1255</v>
      </c>
      <c r="K621" t="s">
        <v>1732</v>
      </c>
    </row>
    <row r="622" spans="1:11" x14ac:dyDescent="0.3">
      <c r="A622" t="s">
        <v>87</v>
      </c>
      <c r="B622" t="str">
        <f>IF(Calculator!$B$1="NL",Data!K622,Data!J622)</f>
        <v>WATERMAEL (CHAUSSEE DE)_21002A25-</v>
      </c>
      <c r="C622">
        <v>619</v>
      </c>
      <c r="D622">
        <v>469</v>
      </c>
      <c r="E622">
        <v>38.712004929999999</v>
      </c>
      <c r="F622">
        <v>0.81122448979591832</v>
      </c>
      <c r="G622">
        <f t="shared" si="27"/>
        <v>0.7576736672051696</v>
      </c>
      <c r="H622">
        <f t="shared" si="28"/>
        <v>0.64180733853300009</v>
      </c>
      <c r="I622">
        <f t="shared" si="29"/>
        <v>0.62976645258217634</v>
      </c>
      <c r="J622" t="s">
        <v>1256</v>
      </c>
      <c r="K622" t="s">
        <v>1733</v>
      </c>
    </row>
    <row r="623" spans="1:11" x14ac:dyDescent="0.3">
      <c r="A623" t="s">
        <v>5</v>
      </c>
      <c r="B623" t="str">
        <f>IF(Calculator!$B$1="NL",Data!K623,Data!J623)</f>
        <v>WAYEZ_21001A02-</v>
      </c>
      <c r="C623">
        <v>430</v>
      </c>
      <c r="D623">
        <v>126</v>
      </c>
      <c r="E623">
        <v>31.061779380000001</v>
      </c>
      <c r="F623">
        <v>0.1864406779661017</v>
      </c>
      <c r="G623">
        <f t="shared" si="27"/>
        <v>0.2930232558139535</v>
      </c>
      <c r="H623">
        <f t="shared" si="28"/>
        <v>0.42683600057800003</v>
      </c>
      <c r="I623">
        <f t="shared" si="29"/>
        <v>0.32393666537637905</v>
      </c>
      <c r="J623" t="s">
        <v>1257</v>
      </c>
      <c r="K623" t="s">
        <v>1257</v>
      </c>
    </row>
    <row r="624" spans="1:11" x14ac:dyDescent="0.3">
      <c r="A624" t="s">
        <v>379</v>
      </c>
      <c r="B624" t="str">
        <f>IF(Calculator!$B$1="NL",Data!K624,Data!J624)</f>
        <v>WERY (RUE)_21009A111</v>
      </c>
      <c r="C624">
        <v>1652</v>
      </c>
      <c r="D624">
        <v>510</v>
      </c>
      <c r="E624">
        <v>32.150668230000001</v>
      </c>
      <c r="F624">
        <v>0.91536748329621376</v>
      </c>
      <c r="G624">
        <f t="shared" si="27"/>
        <v>0.30871670702179177</v>
      </c>
      <c r="H624">
        <f t="shared" si="28"/>
        <v>0.457433777263</v>
      </c>
      <c r="I624">
        <f t="shared" si="29"/>
        <v>0.36392148003527602</v>
      </c>
      <c r="J624" t="s">
        <v>1258</v>
      </c>
      <c r="K624" t="s">
        <v>1734</v>
      </c>
    </row>
    <row r="625" spans="1:11" x14ac:dyDescent="0.3">
      <c r="A625" t="s">
        <v>441</v>
      </c>
      <c r="B625" t="str">
        <f>IF(Calculator!$B$1="NL",Data!K625,Data!J625)</f>
        <v>WIELEMANS CEUPPENS_21007A53-</v>
      </c>
      <c r="C625">
        <v>1284</v>
      </c>
      <c r="D625">
        <v>618</v>
      </c>
      <c r="E625">
        <v>35.558777290000002</v>
      </c>
      <c r="F625">
        <v>0.92592592592592593</v>
      </c>
      <c r="G625">
        <f t="shared" si="27"/>
        <v>0.48130841121495327</v>
      </c>
      <c r="H625">
        <f t="shared" si="28"/>
        <v>0.553201641849</v>
      </c>
      <c r="I625">
        <f t="shared" si="29"/>
        <v>0.49139227520537776</v>
      </c>
      <c r="J625" t="s">
        <v>646</v>
      </c>
      <c r="K625" t="s">
        <v>646</v>
      </c>
    </row>
    <row r="626" spans="1:11" x14ac:dyDescent="0.3">
      <c r="A626" t="s">
        <v>399</v>
      </c>
      <c r="B626" t="str">
        <f>IF(Calculator!$B$1="NL",Data!K626,Data!J626)</f>
        <v>WIERTZ_21009A512</v>
      </c>
      <c r="C626">
        <v>215</v>
      </c>
      <c r="D626">
        <v>68</v>
      </c>
      <c r="E626">
        <v>32.173375839999999</v>
      </c>
      <c r="F626">
        <v>0.85245901639344257</v>
      </c>
      <c r="G626">
        <f t="shared" si="27"/>
        <v>0.31627906976744186</v>
      </c>
      <c r="H626">
        <f t="shared" si="28"/>
        <v>0.45807186110399994</v>
      </c>
      <c r="I626">
        <f t="shared" si="29"/>
        <v>0.36781669216393481</v>
      </c>
      <c r="J626" t="s">
        <v>1259</v>
      </c>
      <c r="K626" t="s">
        <v>1259</v>
      </c>
    </row>
    <row r="627" spans="1:11" x14ac:dyDescent="0.3">
      <c r="A627" t="s">
        <v>299</v>
      </c>
      <c r="B627" t="str">
        <f>IF(Calculator!$B$1="NL",Data!K627,Data!J627)</f>
        <v>WOLVENBERG_21016A922</v>
      </c>
      <c r="C627">
        <v>590</v>
      </c>
      <c r="D627">
        <v>425</v>
      </c>
      <c r="E627">
        <v>41.486987050000003</v>
      </c>
      <c r="F627">
        <v>0.72340425531914898</v>
      </c>
      <c r="G627">
        <f t="shared" si="27"/>
        <v>0.72033898305084743</v>
      </c>
      <c r="H627">
        <f t="shared" si="28"/>
        <v>0.71978433610500003</v>
      </c>
      <c r="I627">
        <f t="shared" si="29"/>
        <v>0.64805549362013137</v>
      </c>
      <c r="J627" t="s">
        <v>1260</v>
      </c>
      <c r="K627" t="s">
        <v>1260</v>
      </c>
    </row>
    <row r="628" spans="1:11" x14ac:dyDescent="0.3">
      <c r="A628" t="s">
        <v>108</v>
      </c>
      <c r="B628" t="str">
        <f>IF(Calculator!$B$1="NL",Data!K628,Data!J628)</f>
        <v>ZAVELENBERG_21003A283</v>
      </c>
      <c r="C628">
        <v>105</v>
      </c>
      <c r="D628">
        <v>74</v>
      </c>
      <c r="E628">
        <v>41.083152689999999</v>
      </c>
      <c r="F628">
        <v>0.66666666666666663</v>
      </c>
      <c r="G628">
        <f t="shared" si="27"/>
        <v>0.70476190476190481</v>
      </c>
      <c r="H628">
        <f t="shared" si="28"/>
        <v>0.70843659058899999</v>
      </c>
      <c r="I628">
        <f t="shared" si="29"/>
        <v>0.63593932290790711</v>
      </c>
      <c r="J628" t="s">
        <v>1261</v>
      </c>
      <c r="K628" t="s">
        <v>1261</v>
      </c>
    </row>
    <row r="629" spans="1:11" x14ac:dyDescent="0.3">
      <c r="A629" t="s">
        <v>295</v>
      </c>
      <c r="B629" t="str">
        <f>IF(Calculator!$B$1="NL",Data!K629,Data!J629)</f>
        <v>ZEECRABBE_21016A841</v>
      </c>
      <c r="C629">
        <v>180</v>
      </c>
      <c r="D629">
        <v>132</v>
      </c>
      <c r="E629">
        <v>43.517051180000003</v>
      </c>
      <c r="F629">
        <v>0.33006535947712418</v>
      </c>
      <c r="G629">
        <f t="shared" si="27"/>
        <v>0.73333333333333328</v>
      </c>
      <c r="H629">
        <f t="shared" si="28"/>
        <v>0.77682913815800014</v>
      </c>
      <c r="I629">
        <f t="shared" si="29"/>
        <v>0.67957311217110006</v>
      </c>
      <c r="J629" t="s">
        <v>1262</v>
      </c>
      <c r="K629" t="s">
        <v>1262</v>
      </c>
    </row>
    <row r="630" spans="1:11" x14ac:dyDescent="0.3">
      <c r="A630" s="106" t="s">
        <v>68</v>
      </c>
      <c r="B630" s="106" t="str">
        <f>IF(Calculator!$B$1="NL",Data!K630,Data!J630)</f>
        <v>ZONE RURALE_21001C6PB</v>
      </c>
      <c r="C630" s="106">
        <v>177</v>
      </c>
      <c r="D630" s="106">
        <v>233</v>
      </c>
      <c r="E630" s="106">
        <v>67.039788709999996</v>
      </c>
      <c r="F630" s="106">
        <v>0.16077738515901061</v>
      </c>
      <c r="G630" s="106">
        <f t="shared" si="27"/>
        <v>1.3163841807909604</v>
      </c>
      <c r="H630">
        <f t="shared" si="28"/>
        <v>1.437818062751</v>
      </c>
      <c r="I630">
        <f t="shared" si="29"/>
        <v>1.239391009593882</v>
      </c>
      <c r="J630" t="s">
        <v>1263</v>
      </c>
      <c r="K630" t="s">
        <v>1735</v>
      </c>
    </row>
    <row r="631" spans="1:11" x14ac:dyDescent="0.3">
      <c r="A631" t="s">
        <v>290</v>
      </c>
      <c r="B631" t="str">
        <f>IF(Calculator!$B$1="NL",Data!K631,Data!J631)</f>
        <v>ZWARTEBEEK_21016A772</v>
      </c>
      <c r="C631">
        <v>280</v>
      </c>
      <c r="D631">
        <v>209</v>
      </c>
      <c r="E631">
        <v>36.627393230000003</v>
      </c>
      <c r="F631">
        <v>0.60301507537688437</v>
      </c>
      <c r="G631">
        <f t="shared" si="27"/>
        <v>0.74642857142857144</v>
      </c>
      <c r="H631">
        <f t="shared" si="28"/>
        <v>0.58322974976300013</v>
      </c>
      <c r="I631">
        <f t="shared" si="29"/>
        <v>0.59834624453620722</v>
      </c>
      <c r="J631" t="s">
        <v>1264</v>
      </c>
      <c r="K631" t="s">
        <v>1264</v>
      </c>
    </row>
  </sheetData>
  <sheetProtection algorithmName="SHA-512" hashValue="Dzwy5wjCjJkUXoNEvIazkzsXx1e5Q7ekA4vFmF5LnUmzye56x+3thKlfsq4zrCrtkVlZeWYpk29RqBpxwWZzLw==" saltValue="Xp2Wp6zH92okPC/yfhDoY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Calculator</vt:lpstr>
      <vt:lpstr>Release Notes</vt:lpstr>
      <vt:lpstr>Data</vt:lpstr>
      <vt:lpstr>Name</vt:lpstr>
    </vt:vector>
  </TitlesOfParts>
  <Manager>permit@environnement.brussels</Manager>
  <Company>Bruxelles Environnement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Ratio Parking Calculator</dc:title>
  <dc:creator>permit@environnement.brussels</dc:creator>
  <cp:keywords>parking, permis, verguningen</cp:keywords>
  <cp:lastModifiedBy>GODEFROID Blaise</cp:lastModifiedBy>
  <dcterms:created xsi:type="dcterms:W3CDTF">2015-06-05T18:17:20Z</dcterms:created>
  <dcterms:modified xsi:type="dcterms:W3CDTF">2026-01-09T11:00:45Z</dcterms:modified>
</cp:coreProperties>
</file>